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comments5.xml" ContentType="application/vnd.openxmlformats-officedocument.spreadsheetml.comments+xml"/>
  <Override PartName="/xl/drawings/drawing9.xml" ContentType="application/vnd.openxmlformats-officedocument.drawing+xml"/>
  <Override PartName="/xl/comments6.xml" ContentType="application/vnd.openxmlformats-officedocument.spreadsheetml.comments+xml"/>
  <Override PartName="/xl/drawings/drawing10.xml" ContentType="application/vnd.openxmlformats-officedocument.drawing+xml"/>
  <Override PartName="/xl/comments7.xml" ContentType="application/vnd.openxmlformats-officedocument.spreadsheetml.comments+xml"/>
  <Override PartName="/xl/drawings/drawing11.xml" ContentType="application/vnd.openxmlformats-officedocument.drawing+xml"/>
  <Override PartName="/xl/comments8.xml" ContentType="application/vnd.openxmlformats-officedocument.spreadsheetml.comments+xml"/>
  <Override PartName="/xl/drawings/drawing12.xml" ContentType="application/vnd.openxmlformats-officedocument.drawing+xml"/>
  <Override PartName="/xl/comments9.xml" ContentType="application/vnd.openxmlformats-officedocument.spreadsheetml.comments+xml"/>
  <Override PartName="/xl/drawings/drawing13.xml" ContentType="application/vnd.openxmlformats-officedocument.drawing+xml"/>
  <Override PartName="/xl/comments10.xml" ContentType="application/vnd.openxmlformats-officedocument.spreadsheetml.comments+xml"/>
  <Override PartName="/xl/drawings/drawing14.xml" ContentType="application/vnd.openxmlformats-officedocument.drawing+xml"/>
  <Override PartName="/xl/comments11.xml" ContentType="application/vnd.openxmlformats-officedocument.spreadsheetml.comments+xml"/>
  <Override PartName="/xl/drawings/drawing15.xml" ContentType="application/vnd.openxmlformats-officedocument.drawing+xml"/>
  <Override PartName="/xl/comments12.xml" ContentType="application/vnd.openxmlformats-officedocument.spreadsheetml.comments+xml"/>
  <Override PartName="/xl/drawings/drawing16.xml" ContentType="application/vnd.openxmlformats-officedocument.drawing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1"/>
  <workbookPr codeName="DieseArbeitsmappe"/>
  <mc:AlternateContent xmlns:mc="http://schemas.openxmlformats.org/markup-compatibility/2006">
    <mc:Choice Requires="x15">
      <x15ac:absPath xmlns:x15ac="http://schemas.microsoft.com/office/spreadsheetml/2010/11/ac" url="/Users/haraldmauler/Desktop/"/>
    </mc:Choice>
  </mc:AlternateContent>
  <xr:revisionPtr revIDLastSave="0" documentId="13_ncr:1_{2B44B2FF-67EC-BF4E-A060-9C5A48BC3D57}" xr6:coauthVersionLast="47" xr6:coauthVersionMax="47" xr10:uidLastSave="{00000000-0000-0000-0000-000000000000}"/>
  <workbookProtection workbookAlgorithmName="SHA-512" workbookHashValue="d6KJHV07FEv8HZBy+SQlcFbPrDafX5aJWoKqqMXyoPmWheUTZMSMJpz0/4SKJcDklrbiaiafo8FWwqz/pR+MuQ==" workbookSaltValue="uPqRlIoBkQEETU6bZ5+IHA==" workbookSpinCount="100000" lockStructure="1"/>
  <bookViews>
    <workbookView xWindow="0" yWindow="500" windowWidth="28800" windowHeight="17500" xr2:uid="{00000000-000D-0000-FFFF-FFFF00000000}"/>
  </bookViews>
  <sheets>
    <sheet name="Info" sheetId="90" r:id="rId1"/>
    <sheet name="Üst" sheetId="16" r:id="rId2"/>
    <sheet name="Start" sheetId="89" r:id="rId3"/>
    <sheet name="Jänner" sheetId="86" r:id="rId4"/>
    <sheet name="Februar" sheetId="73" r:id="rId5"/>
    <sheet name="März" sheetId="76" r:id="rId6"/>
    <sheet name="April" sheetId="75" r:id="rId7"/>
    <sheet name="Mai" sheetId="77" r:id="rId8"/>
    <sheet name="Juni" sheetId="82" r:id="rId9"/>
    <sheet name="Juli" sheetId="78" r:id="rId10"/>
    <sheet name="August" sheetId="79" r:id="rId11"/>
    <sheet name="September" sheetId="83" r:id="rId12"/>
    <sheet name="Oktober" sheetId="80" r:id="rId13"/>
    <sheet name="November" sheetId="84" r:id="rId14"/>
    <sheet name="Dezember" sheetId="81" r:id="rId15"/>
    <sheet name="Jänner." sheetId="87" r:id="rId16"/>
    <sheet name="Datenblatt" sheetId="3" state="hidden" r:id="rId17"/>
    <sheet name="Gehalt" sheetId="17" state="hidden" r:id="rId18"/>
  </sheets>
  <definedNames>
    <definedName name="AbwesenheitenStunden">Datenblatt!$K$2:$K$25</definedName>
    <definedName name="Feiertage">Datenblatt!$B$84:$C$97</definedName>
    <definedName name="SF">Datenblatt!$I$2:$I$22</definedName>
    <definedName name="SpA">Datenblatt!$E$2:$E$28</definedName>
    <definedName name="Tagespräsenz">Datenblatt!$A$2:$A$31</definedName>
    <definedName name="Zeiten1">Datenblatt!$N$2:$N$66</definedName>
    <definedName name="Zeiten2">Datenblatt!$O$2:$O$34</definedName>
    <definedName name="Zeiten2Anfang">Datenblatt!$O$10:$O$34</definedName>
    <definedName name="Zeiten2Ende">Datenblatt!$O$2:$O$10</definedName>
  </definedNames>
  <calcPr calcId="191029" concurrentCalc="0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" i="17" l="1"/>
  <c r="D5" i="17"/>
  <c r="E5" i="17"/>
  <c r="F5" i="17"/>
  <c r="G5" i="17"/>
  <c r="H5" i="17"/>
  <c r="I5" i="17"/>
  <c r="C6" i="17"/>
  <c r="D6" i="17"/>
  <c r="E6" i="17"/>
  <c r="F6" i="17"/>
  <c r="G6" i="17"/>
  <c r="H6" i="17"/>
  <c r="I6" i="17"/>
  <c r="C7" i="17"/>
  <c r="D7" i="17"/>
  <c r="E7" i="17"/>
  <c r="F7" i="17"/>
  <c r="G7" i="17"/>
  <c r="H7" i="17"/>
  <c r="I7" i="17"/>
  <c r="C8" i="17"/>
  <c r="D8" i="17"/>
  <c r="E8" i="17"/>
  <c r="F8" i="17"/>
  <c r="G8" i="17"/>
  <c r="H8" i="17"/>
  <c r="I8" i="17"/>
  <c r="C9" i="17"/>
  <c r="D9" i="17"/>
  <c r="E9" i="17"/>
  <c r="F9" i="17"/>
  <c r="G9" i="17"/>
  <c r="H9" i="17"/>
  <c r="I9" i="17"/>
  <c r="C10" i="17"/>
  <c r="D10" i="17"/>
  <c r="E10" i="17"/>
  <c r="F10" i="17"/>
  <c r="G10" i="17"/>
  <c r="H10" i="17"/>
  <c r="I10" i="17"/>
  <c r="C11" i="17"/>
  <c r="D11" i="17"/>
  <c r="E11" i="17"/>
  <c r="F11" i="17"/>
  <c r="G11" i="17"/>
  <c r="H11" i="17"/>
  <c r="I11" i="17"/>
  <c r="C12" i="17"/>
  <c r="D12" i="17"/>
  <c r="E12" i="17"/>
  <c r="F12" i="17"/>
  <c r="G12" i="17"/>
  <c r="H12" i="17"/>
  <c r="I12" i="17"/>
  <c r="C13" i="17"/>
  <c r="D13" i="17"/>
  <c r="E13" i="17"/>
  <c r="F13" i="17"/>
  <c r="G13" i="17"/>
  <c r="H13" i="17"/>
  <c r="I13" i="17"/>
  <c r="C14" i="17"/>
  <c r="D14" i="17"/>
  <c r="E14" i="17"/>
  <c r="F14" i="17"/>
  <c r="G14" i="17"/>
  <c r="H14" i="17"/>
  <c r="I14" i="17"/>
  <c r="C15" i="17"/>
  <c r="D15" i="17"/>
  <c r="E15" i="17"/>
  <c r="F15" i="17"/>
  <c r="G15" i="17"/>
  <c r="H15" i="17"/>
  <c r="I15" i="17"/>
  <c r="C16" i="17"/>
  <c r="D16" i="17"/>
  <c r="E16" i="17"/>
  <c r="F16" i="17"/>
  <c r="G16" i="17"/>
  <c r="H16" i="17"/>
  <c r="I16" i="17"/>
  <c r="C17" i="17"/>
  <c r="D17" i="17"/>
  <c r="E17" i="17"/>
  <c r="F17" i="17"/>
  <c r="G17" i="17"/>
  <c r="H17" i="17"/>
  <c r="I17" i="17"/>
  <c r="C18" i="17"/>
  <c r="D18" i="17"/>
  <c r="E18" i="17"/>
  <c r="F18" i="17"/>
  <c r="G18" i="17"/>
  <c r="H18" i="17"/>
  <c r="I18" i="17"/>
  <c r="C19" i="17"/>
  <c r="D19" i="17"/>
  <c r="E19" i="17"/>
  <c r="F19" i="17"/>
  <c r="G19" i="17"/>
  <c r="H19" i="17"/>
  <c r="I19" i="17"/>
  <c r="C20" i="17"/>
  <c r="D20" i="17"/>
  <c r="E20" i="17"/>
  <c r="F20" i="17"/>
  <c r="G20" i="17"/>
  <c r="H20" i="17"/>
  <c r="I20" i="17"/>
  <c r="C21" i="17"/>
  <c r="D21" i="17"/>
  <c r="E21" i="17"/>
  <c r="F21" i="17"/>
  <c r="G21" i="17"/>
  <c r="H21" i="17"/>
  <c r="I21" i="17"/>
  <c r="C22" i="17"/>
  <c r="D22" i="17"/>
  <c r="E22" i="17"/>
  <c r="F22" i="17"/>
  <c r="G22" i="17"/>
  <c r="H22" i="17"/>
  <c r="I22" i="17"/>
  <c r="D4" i="17"/>
  <c r="E4" i="17"/>
  <c r="F4" i="17"/>
  <c r="G4" i="17"/>
  <c r="H4" i="17"/>
  <c r="I4" i="17"/>
  <c r="C4" i="17"/>
  <c r="E26" i="17"/>
  <c r="F26" i="17"/>
  <c r="G26" i="17"/>
  <c r="H26" i="17"/>
  <c r="I26" i="17"/>
  <c r="J26" i="17"/>
  <c r="K26" i="17"/>
  <c r="L26" i="17"/>
  <c r="M26" i="17"/>
  <c r="N26" i="17"/>
  <c r="O26" i="17"/>
  <c r="L53" i="87"/>
  <c r="E25" i="17"/>
  <c r="F25" i="17"/>
  <c r="G25" i="17"/>
  <c r="H25" i="17"/>
  <c r="I25" i="17"/>
  <c r="J25" i="17"/>
  <c r="K25" i="17"/>
  <c r="L25" i="17"/>
  <c r="M25" i="17"/>
  <c r="N25" i="17"/>
  <c r="O25" i="17"/>
  <c r="L52" i="87"/>
  <c r="G53" i="87"/>
  <c r="G52" i="87"/>
  <c r="L53" i="81"/>
  <c r="L52" i="81"/>
  <c r="G53" i="81"/>
  <c r="G52" i="81"/>
  <c r="L53" i="84"/>
  <c r="L52" i="84"/>
  <c r="G53" i="84"/>
  <c r="G52" i="84"/>
  <c r="L53" i="80"/>
  <c r="L52" i="80"/>
  <c r="G53" i="80"/>
  <c r="G52" i="80"/>
  <c r="L53" i="83"/>
  <c r="L52" i="83"/>
  <c r="G53" i="83"/>
  <c r="G52" i="83"/>
  <c r="L53" i="79"/>
  <c r="L52" i="79"/>
  <c r="G53" i="79"/>
  <c r="G52" i="79"/>
  <c r="L53" i="78"/>
  <c r="L52" i="78"/>
  <c r="G53" i="78"/>
  <c r="G52" i="78"/>
  <c r="L53" i="82"/>
  <c r="L52" i="82"/>
  <c r="G53" i="82"/>
  <c r="G52" i="82"/>
  <c r="L53" i="77"/>
  <c r="L52" i="77"/>
  <c r="G53" i="77"/>
  <c r="G52" i="77"/>
  <c r="L53" i="75"/>
  <c r="L52" i="75"/>
  <c r="G53" i="75"/>
  <c r="G52" i="75"/>
  <c r="L53" i="76"/>
  <c r="G53" i="76"/>
  <c r="L52" i="76"/>
  <c r="G52" i="76"/>
  <c r="L53" i="73"/>
  <c r="G53" i="73"/>
  <c r="L52" i="73"/>
  <c r="G52" i="73"/>
  <c r="G53" i="86"/>
  <c r="L53" i="86"/>
  <c r="L52" i="86"/>
  <c r="G52" i="86"/>
  <c r="E27" i="17"/>
  <c r="F27" i="17"/>
  <c r="G27" i="17"/>
  <c r="H27" i="17"/>
  <c r="I27" i="17"/>
  <c r="J27" i="17"/>
  <c r="K27" i="17"/>
  <c r="L27" i="17"/>
  <c r="M27" i="17"/>
  <c r="N27" i="17"/>
  <c r="O27" i="17"/>
  <c r="E28" i="17"/>
  <c r="F28" i="17"/>
  <c r="G28" i="17"/>
  <c r="H28" i="17"/>
  <c r="I28" i="17"/>
  <c r="J28" i="17"/>
  <c r="K28" i="17"/>
  <c r="L28" i="17"/>
  <c r="M28" i="17"/>
  <c r="N28" i="17"/>
  <c r="O28" i="17"/>
  <c r="E29" i="17"/>
  <c r="F29" i="17"/>
  <c r="G29" i="17"/>
  <c r="H29" i="17"/>
  <c r="I29" i="17"/>
  <c r="J29" i="17"/>
  <c r="K29" i="17"/>
  <c r="L29" i="17"/>
  <c r="M29" i="17"/>
  <c r="N29" i="17"/>
  <c r="O29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M14" i="86"/>
  <c r="F100" i="3"/>
  <c r="D55" i="86"/>
  <c r="D56" i="86"/>
  <c r="D57" i="86"/>
  <c r="D58" i="86"/>
  <c r="L74" i="86"/>
  <c r="L14" i="86"/>
  <c r="K14" i="86"/>
  <c r="T14" i="86"/>
  <c r="U15" i="86" a="1"/>
  <c r="U15" i="86"/>
  <c r="M15" i="86"/>
  <c r="L15" i="86"/>
  <c r="K15" i="86"/>
  <c r="T15" i="86"/>
  <c r="U16" i="86" a="1"/>
  <c r="U16" i="86"/>
  <c r="M16" i="86"/>
  <c r="L16" i="86"/>
  <c r="K16" i="86"/>
  <c r="T16" i="86"/>
  <c r="U17" i="86" a="1"/>
  <c r="M17" i="86"/>
  <c r="L17" i="86"/>
  <c r="K17" i="86"/>
  <c r="T17" i="86"/>
  <c r="U18" i="86" a="1"/>
  <c r="M18" i="86"/>
  <c r="L18" i="86"/>
  <c r="K18" i="86"/>
  <c r="T18" i="86"/>
  <c r="U19" i="86" a="1"/>
  <c r="M19" i="86"/>
  <c r="L19" i="86"/>
  <c r="K19" i="86"/>
  <c r="T19" i="86"/>
  <c r="U20" i="86" a="1"/>
  <c r="M20" i="86"/>
  <c r="L20" i="86"/>
  <c r="K20" i="86"/>
  <c r="T20" i="86"/>
  <c r="U21" i="86" a="1"/>
  <c r="M21" i="86"/>
  <c r="L21" i="86"/>
  <c r="K21" i="86"/>
  <c r="T21" i="86"/>
  <c r="U22" i="86" a="1"/>
  <c r="M22" i="86"/>
  <c r="L22" i="86"/>
  <c r="K22" i="86"/>
  <c r="T22" i="86"/>
  <c r="U23" i="86" a="1"/>
  <c r="M23" i="86"/>
  <c r="L23" i="86"/>
  <c r="K23" i="86"/>
  <c r="T23" i="86"/>
  <c r="U24" i="86" a="1"/>
  <c r="M24" i="86"/>
  <c r="L24" i="86"/>
  <c r="K24" i="86"/>
  <c r="T24" i="86"/>
  <c r="U25" i="86" a="1"/>
  <c r="M25" i="86"/>
  <c r="L25" i="86"/>
  <c r="K25" i="86"/>
  <c r="T25" i="86"/>
  <c r="U26" i="86" a="1"/>
  <c r="M26" i="86"/>
  <c r="L26" i="86"/>
  <c r="K26" i="86"/>
  <c r="T26" i="86"/>
  <c r="U27" i="86" a="1"/>
  <c r="M27" i="86"/>
  <c r="L27" i="86"/>
  <c r="K27" i="86"/>
  <c r="T27" i="86"/>
  <c r="U28" i="86" a="1"/>
  <c r="M28" i="86"/>
  <c r="L28" i="86"/>
  <c r="K28" i="86"/>
  <c r="T28" i="86"/>
  <c r="U29" i="86" a="1"/>
  <c r="M29" i="86"/>
  <c r="L29" i="86"/>
  <c r="K29" i="86"/>
  <c r="T29" i="86"/>
  <c r="U30" i="86" a="1"/>
  <c r="M30" i="86"/>
  <c r="L30" i="86"/>
  <c r="K30" i="86"/>
  <c r="T30" i="86"/>
  <c r="U31" i="86" a="1"/>
  <c r="M31" i="86"/>
  <c r="L31" i="86"/>
  <c r="K31" i="86"/>
  <c r="T31" i="86"/>
  <c r="U32" i="86" a="1"/>
  <c r="M32" i="86"/>
  <c r="L32" i="86"/>
  <c r="K32" i="86"/>
  <c r="T32" i="86"/>
  <c r="U33" i="86" a="1"/>
  <c r="M33" i="86"/>
  <c r="L33" i="86"/>
  <c r="K33" i="86"/>
  <c r="T33" i="86"/>
  <c r="U34" i="86" a="1"/>
  <c r="M34" i="86"/>
  <c r="L34" i="86"/>
  <c r="K34" i="86"/>
  <c r="T34" i="86"/>
  <c r="U35" i="86" a="1"/>
  <c r="M35" i="86"/>
  <c r="L35" i="86"/>
  <c r="K35" i="86"/>
  <c r="T35" i="86"/>
  <c r="U36" i="86" a="1"/>
  <c r="M36" i="86"/>
  <c r="L36" i="86"/>
  <c r="K36" i="86"/>
  <c r="T36" i="86"/>
  <c r="U37" i="86" a="1"/>
  <c r="M37" i="86"/>
  <c r="L37" i="86"/>
  <c r="K37" i="86"/>
  <c r="T37" i="86"/>
  <c r="U38" i="86" a="1"/>
  <c r="M38" i="86"/>
  <c r="L38" i="86"/>
  <c r="K38" i="86"/>
  <c r="T38" i="86"/>
  <c r="U39" i="86" a="1"/>
  <c r="M39" i="86"/>
  <c r="L39" i="86"/>
  <c r="K39" i="86"/>
  <c r="T39" i="86"/>
  <c r="U40" i="86" a="1"/>
  <c r="M40" i="86"/>
  <c r="L40" i="86"/>
  <c r="K40" i="86"/>
  <c r="T40" i="86"/>
  <c r="U41" i="86" a="1"/>
  <c r="M41" i="86"/>
  <c r="L41" i="86"/>
  <c r="K41" i="86"/>
  <c r="T41" i="86"/>
  <c r="U42" i="86" a="1"/>
  <c r="M42" i="86"/>
  <c r="L42" i="86"/>
  <c r="K42" i="86"/>
  <c r="T42" i="86"/>
  <c r="U43" i="86" a="1"/>
  <c r="M43" i="86"/>
  <c r="L43" i="86"/>
  <c r="K43" i="86"/>
  <c r="T43" i="86"/>
  <c r="U44" i="86" a="1"/>
  <c r="U17" i="86"/>
  <c r="U18" i="86"/>
  <c r="U19" i="86"/>
  <c r="U20" i="86"/>
  <c r="U21" i="86"/>
  <c r="U22" i="86"/>
  <c r="U23" i="86"/>
  <c r="U24" i="86"/>
  <c r="U25" i="86"/>
  <c r="U26" i="86"/>
  <c r="U27" i="86"/>
  <c r="U28" i="86"/>
  <c r="U29" i="86"/>
  <c r="U30" i="86"/>
  <c r="U31" i="86"/>
  <c r="U32" i="86"/>
  <c r="U33" i="86"/>
  <c r="U34" i="86"/>
  <c r="U35" i="86"/>
  <c r="U36" i="86"/>
  <c r="U37" i="86"/>
  <c r="U38" i="86"/>
  <c r="U39" i="86"/>
  <c r="U40" i="86"/>
  <c r="U41" i="86"/>
  <c r="U42" i="86"/>
  <c r="U43" i="86"/>
  <c r="U44" i="86"/>
  <c r="U53" i="86"/>
  <c r="V15" i="86" a="1"/>
  <c r="V15" i="86"/>
  <c r="V16" i="86" a="1"/>
  <c r="V16" i="86"/>
  <c r="V17" i="86" a="1"/>
  <c r="V18" i="86" a="1"/>
  <c r="V19" i="86" a="1"/>
  <c r="V20" i="86" a="1"/>
  <c r="V21" i="86" a="1"/>
  <c r="V22" i="86" a="1"/>
  <c r="V23" i="86" a="1"/>
  <c r="V24" i="86" a="1"/>
  <c r="V25" i="86" a="1"/>
  <c r="V26" i="86" a="1"/>
  <c r="V27" i="86" a="1"/>
  <c r="V28" i="86" a="1"/>
  <c r="V29" i="86" a="1"/>
  <c r="V30" i="86" a="1"/>
  <c r="V31" i="86" a="1"/>
  <c r="V32" i="86" a="1"/>
  <c r="V33" i="86" a="1"/>
  <c r="V34" i="86" a="1"/>
  <c r="V35" i="86" a="1"/>
  <c r="V36" i="86" a="1"/>
  <c r="V37" i="86" a="1"/>
  <c r="V38" i="86" a="1"/>
  <c r="V39" i="86" a="1"/>
  <c r="V40" i="86" a="1"/>
  <c r="V41" i="86" a="1"/>
  <c r="V42" i="86" a="1"/>
  <c r="V43" i="86" a="1"/>
  <c r="M44" i="86"/>
  <c r="L44" i="86"/>
  <c r="K44" i="86"/>
  <c r="T44" i="86"/>
  <c r="V44" i="86" a="1"/>
  <c r="V17" i="86"/>
  <c r="V18" i="86"/>
  <c r="V19" i="86"/>
  <c r="V20" i="86"/>
  <c r="V21" i="86"/>
  <c r="V22" i="86"/>
  <c r="V23" i="86"/>
  <c r="V24" i="86"/>
  <c r="V25" i="86"/>
  <c r="V26" i="86"/>
  <c r="V27" i="86"/>
  <c r="V28" i="86"/>
  <c r="V29" i="86"/>
  <c r="V30" i="86"/>
  <c r="V31" i="86"/>
  <c r="V32" i="86"/>
  <c r="V33" i="86"/>
  <c r="V34" i="86"/>
  <c r="V35" i="86"/>
  <c r="V36" i="86"/>
  <c r="V37" i="86"/>
  <c r="V38" i="86"/>
  <c r="V39" i="86"/>
  <c r="V40" i="86"/>
  <c r="V41" i="86"/>
  <c r="V42" i="86"/>
  <c r="V43" i="86"/>
  <c r="V44" i="86"/>
  <c r="V53" i="86"/>
  <c r="X15" i="86" a="1"/>
  <c r="X15" i="86"/>
  <c r="X16" i="86" a="1"/>
  <c r="X16" i="86"/>
  <c r="X17" i="86" a="1"/>
  <c r="X18" i="86" a="1"/>
  <c r="X19" i="86" a="1"/>
  <c r="X20" i="86" a="1"/>
  <c r="X21" i="86" a="1"/>
  <c r="X22" i="86" a="1"/>
  <c r="X23" i="86" a="1"/>
  <c r="X24" i="86" a="1"/>
  <c r="X25" i="86" a="1"/>
  <c r="X26" i="86" a="1"/>
  <c r="X27" i="86" a="1"/>
  <c r="X28" i="86" a="1"/>
  <c r="X29" i="86" a="1"/>
  <c r="X30" i="86" a="1"/>
  <c r="X31" i="86" a="1"/>
  <c r="X32" i="86" a="1"/>
  <c r="X33" i="86" a="1"/>
  <c r="X34" i="86" a="1"/>
  <c r="X35" i="86" a="1"/>
  <c r="X36" i="86" a="1"/>
  <c r="X37" i="86" a="1"/>
  <c r="X38" i="86" a="1"/>
  <c r="X39" i="86" a="1"/>
  <c r="X40" i="86" a="1"/>
  <c r="X41" i="86" a="1"/>
  <c r="X42" i="86" a="1"/>
  <c r="X43" i="86" a="1"/>
  <c r="X44" i="86" a="1"/>
  <c r="X17" i="86"/>
  <c r="X18" i="86"/>
  <c r="X19" i="86"/>
  <c r="X20" i="86"/>
  <c r="X21" i="86"/>
  <c r="X22" i="86"/>
  <c r="X23" i="86"/>
  <c r="X24" i="86"/>
  <c r="X25" i="86"/>
  <c r="X26" i="86"/>
  <c r="X27" i="86"/>
  <c r="X28" i="86"/>
  <c r="X29" i="86"/>
  <c r="X30" i="86"/>
  <c r="X31" i="86"/>
  <c r="X32" i="86"/>
  <c r="X33" i="86"/>
  <c r="X34" i="86"/>
  <c r="X35" i="86"/>
  <c r="X36" i="86"/>
  <c r="X37" i="86"/>
  <c r="X38" i="86"/>
  <c r="X39" i="86"/>
  <c r="X40" i="86"/>
  <c r="X41" i="86"/>
  <c r="X42" i="86"/>
  <c r="X43" i="86"/>
  <c r="X44" i="86"/>
  <c r="X53" i="86"/>
  <c r="Y15" i="86" a="1"/>
  <c r="Y15" i="86"/>
  <c r="Y16" i="86" a="1"/>
  <c r="Y16" i="86"/>
  <c r="Y17" i="86" a="1"/>
  <c r="Y18" i="86" a="1"/>
  <c r="Y19" i="86" a="1"/>
  <c r="Y20" i="86" a="1"/>
  <c r="Y21" i="86" a="1"/>
  <c r="Y22" i="86" a="1"/>
  <c r="Y23" i="86" a="1"/>
  <c r="Y24" i="86" a="1"/>
  <c r="Y25" i="86" a="1"/>
  <c r="Y26" i="86" a="1"/>
  <c r="Y27" i="86" a="1"/>
  <c r="Y28" i="86" a="1"/>
  <c r="Y29" i="86" a="1"/>
  <c r="Y30" i="86" a="1"/>
  <c r="Y31" i="86" a="1"/>
  <c r="Y32" i="86" a="1"/>
  <c r="Y33" i="86" a="1"/>
  <c r="Y34" i="86" a="1"/>
  <c r="Y35" i="86" a="1"/>
  <c r="Y36" i="86" a="1"/>
  <c r="Y37" i="86" a="1"/>
  <c r="Y38" i="86" a="1"/>
  <c r="Y39" i="86" a="1"/>
  <c r="Y40" i="86" a="1"/>
  <c r="Y41" i="86" a="1"/>
  <c r="Y42" i="86" a="1"/>
  <c r="Y43" i="86" a="1"/>
  <c r="Y44" i="86" a="1"/>
  <c r="Y17" i="86"/>
  <c r="Y18" i="86"/>
  <c r="Y19" i="86"/>
  <c r="Y20" i="86"/>
  <c r="Y21" i="86"/>
  <c r="Y22" i="86"/>
  <c r="Y23" i="86"/>
  <c r="Y24" i="86"/>
  <c r="Y25" i="86"/>
  <c r="Y26" i="86"/>
  <c r="Y27" i="86"/>
  <c r="Y28" i="86"/>
  <c r="Y29" i="86"/>
  <c r="Y30" i="86"/>
  <c r="Y31" i="86"/>
  <c r="Y32" i="86"/>
  <c r="Y33" i="86"/>
  <c r="Y34" i="86"/>
  <c r="Y35" i="86"/>
  <c r="Y36" i="86"/>
  <c r="Y37" i="86"/>
  <c r="Y38" i="86"/>
  <c r="Y39" i="86"/>
  <c r="Y40" i="86"/>
  <c r="Y41" i="86"/>
  <c r="Y42" i="86"/>
  <c r="Y43" i="86"/>
  <c r="Y44" i="86"/>
  <c r="Y53" i="86"/>
  <c r="K53" i="86"/>
  <c r="AF15" i="86"/>
  <c r="AG15" i="86"/>
  <c r="AF16" i="86"/>
  <c r="AG16" i="86"/>
  <c r="AF17" i="86"/>
  <c r="AG17" i="86"/>
  <c r="AF18" i="86"/>
  <c r="AG18" i="86"/>
  <c r="AF19" i="86"/>
  <c r="AG19" i="86"/>
  <c r="AF20" i="86"/>
  <c r="AG20" i="86"/>
  <c r="AF21" i="86"/>
  <c r="AG21" i="86"/>
  <c r="AF22" i="86"/>
  <c r="AG22" i="86"/>
  <c r="AF23" i="86"/>
  <c r="AG23" i="86"/>
  <c r="AF24" i="86"/>
  <c r="AG24" i="86"/>
  <c r="AF25" i="86"/>
  <c r="AG25" i="86"/>
  <c r="AF26" i="86"/>
  <c r="AG26" i="86"/>
  <c r="AF27" i="86"/>
  <c r="AG27" i="86"/>
  <c r="AF28" i="86"/>
  <c r="AG28" i="86"/>
  <c r="AF29" i="86"/>
  <c r="AG29" i="86"/>
  <c r="AF30" i="86"/>
  <c r="AG30" i="86"/>
  <c r="AF31" i="86"/>
  <c r="AG31" i="86"/>
  <c r="AF32" i="86"/>
  <c r="AG32" i="86"/>
  <c r="AF33" i="86"/>
  <c r="AG33" i="86"/>
  <c r="AF34" i="86"/>
  <c r="AG34" i="86"/>
  <c r="AF35" i="86"/>
  <c r="AG35" i="86"/>
  <c r="AF36" i="86"/>
  <c r="AG36" i="86"/>
  <c r="AF37" i="86"/>
  <c r="AG37" i="86"/>
  <c r="AF38" i="86"/>
  <c r="AG38" i="86"/>
  <c r="AF39" i="86"/>
  <c r="AG39" i="86"/>
  <c r="AF40" i="86"/>
  <c r="AG40" i="86"/>
  <c r="AF41" i="86"/>
  <c r="AG41" i="86"/>
  <c r="AF42" i="86"/>
  <c r="AG42" i="86"/>
  <c r="AF43" i="86"/>
  <c r="AG43" i="86"/>
  <c r="AF44" i="86"/>
  <c r="AG44" i="86"/>
  <c r="K52" i="86"/>
  <c r="M14" i="73"/>
  <c r="M15" i="73"/>
  <c r="M16" i="73"/>
  <c r="M17" i="73"/>
  <c r="M18" i="73"/>
  <c r="M19" i="73"/>
  <c r="M20" i="73"/>
  <c r="F101" i="3"/>
  <c r="D55" i="73"/>
  <c r="D56" i="73"/>
  <c r="D57" i="73"/>
  <c r="D58" i="73"/>
  <c r="L74" i="73"/>
  <c r="L14" i="73"/>
  <c r="L15" i="73"/>
  <c r="L16" i="73"/>
  <c r="L17" i="73"/>
  <c r="L18" i="73"/>
  <c r="L19" i="73"/>
  <c r="L20" i="73"/>
  <c r="K20" i="73"/>
  <c r="T20" i="73"/>
  <c r="W20" i="73" a="1"/>
  <c r="W20" i="73"/>
  <c r="M21" i="73"/>
  <c r="L21" i="73"/>
  <c r="K21" i="73"/>
  <c r="T21" i="73"/>
  <c r="W21" i="73" a="1"/>
  <c r="W21" i="73"/>
  <c r="M22" i="73"/>
  <c r="L22" i="73"/>
  <c r="K22" i="73"/>
  <c r="T22" i="73"/>
  <c r="W22" i="73" a="1"/>
  <c r="W22" i="73"/>
  <c r="M23" i="73"/>
  <c r="L23" i="73"/>
  <c r="K23" i="73"/>
  <c r="T23" i="73"/>
  <c r="W23" i="73" a="1"/>
  <c r="W23" i="73"/>
  <c r="M24" i="73"/>
  <c r="L24" i="73"/>
  <c r="K24" i="73"/>
  <c r="T24" i="73"/>
  <c r="W24" i="73" a="1"/>
  <c r="W24" i="73"/>
  <c r="M25" i="73"/>
  <c r="L25" i="73"/>
  <c r="K25" i="73"/>
  <c r="T25" i="73"/>
  <c r="W25" i="73" a="1"/>
  <c r="W25" i="73"/>
  <c r="M26" i="73"/>
  <c r="L26" i="73"/>
  <c r="K26" i="73"/>
  <c r="T26" i="73"/>
  <c r="W26" i="73" a="1"/>
  <c r="W26" i="73"/>
  <c r="M27" i="73"/>
  <c r="L27" i="73"/>
  <c r="K27" i="73"/>
  <c r="T27" i="73"/>
  <c r="W27" i="73" a="1"/>
  <c r="W27" i="73"/>
  <c r="M28" i="73"/>
  <c r="L28" i="73"/>
  <c r="K28" i="73"/>
  <c r="T28" i="73"/>
  <c r="W28" i="73" a="1"/>
  <c r="W28" i="73"/>
  <c r="M29" i="73"/>
  <c r="L29" i="73"/>
  <c r="K29" i="73"/>
  <c r="T29" i="73"/>
  <c r="W29" i="73" a="1"/>
  <c r="W29" i="73"/>
  <c r="M30" i="73"/>
  <c r="L30" i="73"/>
  <c r="K30" i="73"/>
  <c r="T30" i="73"/>
  <c r="W30" i="73" a="1"/>
  <c r="W30" i="73"/>
  <c r="M31" i="73"/>
  <c r="L31" i="73"/>
  <c r="K31" i="73"/>
  <c r="T31" i="73"/>
  <c r="W31" i="73" a="1"/>
  <c r="W31" i="73"/>
  <c r="M32" i="73"/>
  <c r="L32" i="73"/>
  <c r="K32" i="73"/>
  <c r="T32" i="73"/>
  <c r="W32" i="73" a="1"/>
  <c r="W32" i="73"/>
  <c r="M33" i="73"/>
  <c r="L33" i="73"/>
  <c r="K33" i="73"/>
  <c r="T33" i="73"/>
  <c r="W33" i="73" a="1"/>
  <c r="W33" i="73"/>
  <c r="M34" i="73"/>
  <c r="L34" i="73"/>
  <c r="K34" i="73"/>
  <c r="T34" i="73"/>
  <c r="W34" i="73" a="1"/>
  <c r="W34" i="73"/>
  <c r="M35" i="73"/>
  <c r="L35" i="73"/>
  <c r="K35" i="73"/>
  <c r="T35" i="73"/>
  <c r="W35" i="73" a="1"/>
  <c r="W35" i="73"/>
  <c r="M36" i="73"/>
  <c r="L36" i="73"/>
  <c r="K36" i="73"/>
  <c r="T36" i="73"/>
  <c r="W36" i="73" a="1"/>
  <c r="W36" i="73"/>
  <c r="M37" i="73"/>
  <c r="L37" i="73"/>
  <c r="K37" i="73"/>
  <c r="T37" i="73"/>
  <c r="W37" i="73" a="1"/>
  <c r="W37" i="73"/>
  <c r="M38" i="73"/>
  <c r="L38" i="73"/>
  <c r="K38" i="73"/>
  <c r="T38" i="73"/>
  <c r="W38" i="73" a="1"/>
  <c r="W38" i="73"/>
  <c r="M39" i="73"/>
  <c r="L39" i="73"/>
  <c r="K39" i="73"/>
  <c r="T39" i="73"/>
  <c r="W39" i="73" a="1"/>
  <c r="W39" i="73"/>
  <c r="M40" i="73"/>
  <c r="L40" i="73"/>
  <c r="K40" i="73"/>
  <c r="T40" i="73"/>
  <c r="W40" i="73" a="1"/>
  <c r="W40" i="73"/>
  <c r="M41" i="73"/>
  <c r="L41" i="73"/>
  <c r="K41" i="73"/>
  <c r="T41" i="73"/>
  <c r="W41" i="73" a="1"/>
  <c r="W41" i="73"/>
  <c r="K19" i="73"/>
  <c r="T19" i="73"/>
  <c r="X19" i="73" a="1"/>
  <c r="X19" i="73"/>
  <c r="K18" i="73"/>
  <c r="T18" i="73"/>
  <c r="Y19" i="73" a="1"/>
  <c r="Y19" i="73"/>
  <c r="X20" i="73" a="1"/>
  <c r="X20" i="73"/>
  <c r="Y20" i="73" a="1"/>
  <c r="Y20" i="73"/>
  <c r="X21" i="73" a="1"/>
  <c r="X21" i="73"/>
  <c r="Y21" i="73" a="1"/>
  <c r="Y21" i="73"/>
  <c r="X22" i="73" a="1"/>
  <c r="X22" i="73"/>
  <c r="Y22" i="73" a="1"/>
  <c r="Y22" i="73"/>
  <c r="X23" i="73" a="1"/>
  <c r="X23" i="73"/>
  <c r="Y23" i="73" a="1"/>
  <c r="Y23" i="73"/>
  <c r="X24" i="73" a="1"/>
  <c r="X24" i="73"/>
  <c r="Y24" i="73" a="1"/>
  <c r="Y24" i="73"/>
  <c r="X25" i="73" a="1"/>
  <c r="X25" i="73"/>
  <c r="Y25" i="73" a="1"/>
  <c r="Y25" i="73"/>
  <c r="X26" i="73" a="1"/>
  <c r="X26" i="73"/>
  <c r="Y26" i="73" a="1"/>
  <c r="Y26" i="73"/>
  <c r="X27" i="73" a="1"/>
  <c r="X27" i="73"/>
  <c r="Y27" i="73" a="1"/>
  <c r="Y27" i="73"/>
  <c r="X28" i="73" a="1"/>
  <c r="X28" i="73"/>
  <c r="Y28" i="73" a="1"/>
  <c r="Y28" i="73"/>
  <c r="X29" i="73" a="1"/>
  <c r="X29" i="73"/>
  <c r="Y29" i="73" a="1"/>
  <c r="Y29" i="73"/>
  <c r="X30" i="73" a="1"/>
  <c r="X30" i="73"/>
  <c r="Y30" i="73" a="1"/>
  <c r="Y30" i="73"/>
  <c r="X31" i="73" a="1"/>
  <c r="X31" i="73"/>
  <c r="Y31" i="73" a="1"/>
  <c r="Y31" i="73"/>
  <c r="X32" i="73" a="1"/>
  <c r="X32" i="73"/>
  <c r="Y32" i="73" a="1"/>
  <c r="Y32" i="73"/>
  <c r="X33" i="73" a="1"/>
  <c r="X33" i="73"/>
  <c r="Y33" i="73" a="1"/>
  <c r="Y33" i="73"/>
  <c r="X34" i="73" a="1"/>
  <c r="X34" i="73"/>
  <c r="Y34" i="73" a="1"/>
  <c r="Y34" i="73"/>
  <c r="X35" i="73" a="1"/>
  <c r="X35" i="73"/>
  <c r="Y35" i="73" a="1"/>
  <c r="Y35" i="73"/>
  <c r="X36" i="73" a="1"/>
  <c r="X36" i="73"/>
  <c r="Y36" i="73" a="1"/>
  <c r="Y36" i="73"/>
  <c r="X37" i="73" a="1"/>
  <c r="X37" i="73"/>
  <c r="Y37" i="73" a="1"/>
  <c r="Y37" i="73"/>
  <c r="X38" i="73" a="1"/>
  <c r="X38" i="73"/>
  <c r="Y38" i="73" a="1"/>
  <c r="Y38" i="73"/>
  <c r="X39" i="73" a="1"/>
  <c r="X39" i="73"/>
  <c r="Y39" i="73" a="1"/>
  <c r="Y39" i="73"/>
  <c r="X40" i="73" a="1"/>
  <c r="X40" i="73"/>
  <c r="Y40" i="73" a="1"/>
  <c r="Y40" i="73"/>
  <c r="X41" i="73" a="1"/>
  <c r="X41" i="73"/>
  <c r="Y41" i="73" a="1"/>
  <c r="Y41" i="73"/>
  <c r="M42" i="73"/>
  <c r="L42" i="73"/>
  <c r="K42" i="73"/>
  <c r="T42" i="73"/>
  <c r="X42" i="73" a="1"/>
  <c r="X42" i="73"/>
  <c r="Y42" i="73" a="1"/>
  <c r="Y42" i="73"/>
  <c r="U19" i="73" a="1"/>
  <c r="U19" i="73"/>
  <c r="V19" i="73" a="1"/>
  <c r="V19" i="73"/>
  <c r="U20" i="73" a="1"/>
  <c r="U20" i="73"/>
  <c r="V20" i="73" a="1"/>
  <c r="V20" i="73"/>
  <c r="U21" i="73" a="1"/>
  <c r="U21" i="73"/>
  <c r="V21" i="73" a="1"/>
  <c r="V21" i="73"/>
  <c r="U22" i="73" a="1"/>
  <c r="U22" i="73"/>
  <c r="V22" i="73" a="1"/>
  <c r="V22" i="73"/>
  <c r="U23" i="73" a="1"/>
  <c r="U23" i="73"/>
  <c r="V23" i="73" a="1"/>
  <c r="V23" i="73"/>
  <c r="U24" i="73" a="1"/>
  <c r="U24" i="73"/>
  <c r="V24" i="73" a="1"/>
  <c r="V24" i="73"/>
  <c r="U25" i="73" a="1"/>
  <c r="U25" i="73"/>
  <c r="V25" i="73" a="1"/>
  <c r="V25" i="73"/>
  <c r="U26" i="73" a="1"/>
  <c r="U26" i="73"/>
  <c r="V26" i="73" a="1"/>
  <c r="V26" i="73"/>
  <c r="U27" i="73" a="1"/>
  <c r="U27" i="73"/>
  <c r="V27" i="73" a="1"/>
  <c r="V27" i="73"/>
  <c r="U28" i="73" a="1"/>
  <c r="U28" i="73"/>
  <c r="V28" i="73" a="1"/>
  <c r="V28" i="73"/>
  <c r="U29" i="73" a="1"/>
  <c r="U29" i="73"/>
  <c r="V29" i="73" a="1"/>
  <c r="V29" i="73"/>
  <c r="U30" i="73" a="1"/>
  <c r="U30" i="73"/>
  <c r="V30" i="73" a="1"/>
  <c r="V30" i="73"/>
  <c r="U31" i="73" a="1"/>
  <c r="U31" i="73"/>
  <c r="V31" i="73" a="1"/>
  <c r="V31" i="73"/>
  <c r="U32" i="73" a="1"/>
  <c r="U32" i="73"/>
  <c r="V32" i="73" a="1"/>
  <c r="V32" i="73"/>
  <c r="U33" i="73" a="1"/>
  <c r="U33" i="73"/>
  <c r="V33" i="73" a="1"/>
  <c r="V33" i="73"/>
  <c r="U34" i="73" a="1"/>
  <c r="U34" i="73"/>
  <c r="V34" i="73" a="1"/>
  <c r="V34" i="73"/>
  <c r="U35" i="73" a="1"/>
  <c r="U35" i="73"/>
  <c r="V35" i="73" a="1"/>
  <c r="V35" i="73"/>
  <c r="U36" i="73" a="1"/>
  <c r="U36" i="73"/>
  <c r="V36" i="73" a="1"/>
  <c r="V36" i="73"/>
  <c r="U37" i="73" a="1"/>
  <c r="U37" i="73"/>
  <c r="V37" i="73" a="1"/>
  <c r="V37" i="73"/>
  <c r="U38" i="73" a="1"/>
  <c r="U38" i="73"/>
  <c r="V38" i="73" a="1"/>
  <c r="V38" i="73"/>
  <c r="U39" i="73" a="1"/>
  <c r="U39" i="73"/>
  <c r="V39" i="73" a="1"/>
  <c r="V39" i="73"/>
  <c r="U40" i="73" a="1"/>
  <c r="U40" i="73"/>
  <c r="V40" i="73" a="1"/>
  <c r="V40" i="73"/>
  <c r="U41" i="73" a="1"/>
  <c r="U41" i="73"/>
  <c r="V41" i="73" a="1"/>
  <c r="V41" i="73"/>
  <c r="U42" i="73" a="1"/>
  <c r="U42" i="73"/>
  <c r="V42" i="73" a="1"/>
  <c r="V42" i="73"/>
  <c r="Z19" i="73"/>
  <c r="Z20" i="73"/>
  <c r="Z21" i="73"/>
  <c r="Z22" i="73"/>
  <c r="Z23" i="73"/>
  <c r="Z24" i="73"/>
  <c r="Z25" i="73"/>
  <c r="Z26" i="73"/>
  <c r="Z27" i="73"/>
  <c r="Z28" i="73"/>
  <c r="Z29" i="73"/>
  <c r="Z30" i="73"/>
  <c r="Z31" i="73"/>
  <c r="Z32" i="73"/>
  <c r="Z33" i="73"/>
  <c r="Z34" i="73"/>
  <c r="Z35" i="73"/>
  <c r="Z36" i="73"/>
  <c r="Z37" i="73"/>
  <c r="Z38" i="73"/>
  <c r="Z39" i="73"/>
  <c r="Z40" i="73"/>
  <c r="Z41" i="73"/>
  <c r="Z42" i="73"/>
  <c r="AA19" i="73"/>
  <c r="AB19" i="73"/>
  <c r="AC19" i="73"/>
  <c r="AD19" i="73"/>
  <c r="AE19" i="73"/>
  <c r="AF19" i="73"/>
  <c r="AG19" i="73"/>
  <c r="AH19" i="73"/>
  <c r="AA20" i="73"/>
  <c r="AB20" i="73"/>
  <c r="AC20" i="73"/>
  <c r="AD20" i="73"/>
  <c r="AE20" i="73"/>
  <c r="AF20" i="73"/>
  <c r="AG20" i="73"/>
  <c r="AH20" i="73"/>
  <c r="AA21" i="73"/>
  <c r="AB21" i="73"/>
  <c r="AC21" i="73"/>
  <c r="AD21" i="73"/>
  <c r="AE21" i="73"/>
  <c r="AF21" i="73"/>
  <c r="AG21" i="73"/>
  <c r="AH21" i="73"/>
  <c r="AA22" i="73"/>
  <c r="AB22" i="73"/>
  <c r="AC22" i="73"/>
  <c r="AD22" i="73"/>
  <c r="AE22" i="73"/>
  <c r="AF22" i="73"/>
  <c r="AG22" i="73"/>
  <c r="AH22" i="73"/>
  <c r="AA23" i="73"/>
  <c r="AB23" i="73"/>
  <c r="AC23" i="73"/>
  <c r="AD23" i="73"/>
  <c r="AE23" i="73"/>
  <c r="AF23" i="73"/>
  <c r="AG23" i="73"/>
  <c r="AH23" i="73"/>
  <c r="AA24" i="73"/>
  <c r="AB24" i="73"/>
  <c r="AC24" i="73"/>
  <c r="AD24" i="73"/>
  <c r="AE24" i="73"/>
  <c r="AF24" i="73"/>
  <c r="AG24" i="73"/>
  <c r="AH24" i="73"/>
  <c r="AA25" i="73"/>
  <c r="AB25" i="73"/>
  <c r="AC25" i="73"/>
  <c r="AD25" i="73"/>
  <c r="AE25" i="73"/>
  <c r="AF25" i="73"/>
  <c r="AG25" i="73"/>
  <c r="AH25" i="73"/>
  <c r="AA26" i="73"/>
  <c r="AB26" i="73"/>
  <c r="AC26" i="73"/>
  <c r="AD26" i="73"/>
  <c r="AE26" i="73"/>
  <c r="AF26" i="73"/>
  <c r="AG26" i="73"/>
  <c r="AH26" i="73"/>
  <c r="AA27" i="73"/>
  <c r="AB27" i="73"/>
  <c r="AC27" i="73"/>
  <c r="AD27" i="73"/>
  <c r="AE27" i="73"/>
  <c r="AF27" i="73"/>
  <c r="AG27" i="73"/>
  <c r="AH27" i="73"/>
  <c r="AA28" i="73"/>
  <c r="AB28" i="73"/>
  <c r="AC28" i="73"/>
  <c r="AD28" i="73"/>
  <c r="AE28" i="73"/>
  <c r="AF28" i="73"/>
  <c r="AG28" i="73"/>
  <c r="AH28" i="73"/>
  <c r="AA29" i="73"/>
  <c r="AB29" i="73"/>
  <c r="AC29" i="73"/>
  <c r="AD29" i="73"/>
  <c r="AE29" i="73"/>
  <c r="AF29" i="73"/>
  <c r="AG29" i="73"/>
  <c r="AH29" i="73"/>
  <c r="AA30" i="73"/>
  <c r="AB30" i="73"/>
  <c r="AC30" i="73"/>
  <c r="AD30" i="73"/>
  <c r="AE30" i="73"/>
  <c r="AF30" i="73"/>
  <c r="AG30" i="73"/>
  <c r="AH30" i="73"/>
  <c r="AA31" i="73"/>
  <c r="AB31" i="73"/>
  <c r="AC31" i="73"/>
  <c r="AD31" i="73"/>
  <c r="AE31" i="73"/>
  <c r="AF31" i="73"/>
  <c r="AG31" i="73"/>
  <c r="AH31" i="73"/>
  <c r="AA32" i="73"/>
  <c r="AB32" i="73"/>
  <c r="AC32" i="73"/>
  <c r="AD32" i="73"/>
  <c r="AE32" i="73"/>
  <c r="AF32" i="73"/>
  <c r="AG32" i="73"/>
  <c r="AH32" i="73"/>
  <c r="AA33" i="73"/>
  <c r="AB33" i="73"/>
  <c r="AC33" i="73"/>
  <c r="AD33" i="73"/>
  <c r="AE33" i="73"/>
  <c r="AF33" i="73"/>
  <c r="AG33" i="73"/>
  <c r="AH33" i="73"/>
  <c r="AA34" i="73"/>
  <c r="AB34" i="73"/>
  <c r="AC34" i="73"/>
  <c r="AD34" i="73"/>
  <c r="AE34" i="73"/>
  <c r="AF34" i="73"/>
  <c r="AG34" i="73"/>
  <c r="AH34" i="73"/>
  <c r="AA35" i="73"/>
  <c r="AB35" i="73"/>
  <c r="AC35" i="73"/>
  <c r="AD35" i="73"/>
  <c r="AE35" i="73"/>
  <c r="AF35" i="73"/>
  <c r="AG35" i="73"/>
  <c r="AH35" i="73"/>
  <c r="AA36" i="73"/>
  <c r="AB36" i="73"/>
  <c r="AC36" i="73"/>
  <c r="AD36" i="73"/>
  <c r="AE36" i="73"/>
  <c r="AF36" i="73"/>
  <c r="AG36" i="73"/>
  <c r="AH36" i="73"/>
  <c r="AA37" i="73"/>
  <c r="AB37" i="73"/>
  <c r="AC37" i="73"/>
  <c r="AD37" i="73"/>
  <c r="AE37" i="73"/>
  <c r="AF37" i="73"/>
  <c r="AG37" i="73"/>
  <c r="AH37" i="73"/>
  <c r="AA38" i="73"/>
  <c r="AB38" i="73"/>
  <c r="AC38" i="73"/>
  <c r="AD38" i="73"/>
  <c r="AE38" i="73"/>
  <c r="AF38" i="73"/>
  <c r="AG38" i="73"/>
  <c r="AH38" i="73"/>
  <c r="AA39" i="73"/>
  <c r="AB39" i="73"/>
  <c r="AC39" i="73"/>
  <c r="AD39" i="73"/>
  <c r="AE39" i="73"/>
  <c r="AF39" i="73"/>
  <c r="AG39" i="73"/>
  <c r="AH39" i="73"/>
  <c r="AA40" i="73"/>
  <c r="AB40" i="73"/>
  <c r="AC40" i="73"/>
  <c r="AD40" i="73"/>
  <c r="AE40" i="73"/>
  <c r="AF40" i="73"/>
  <c r="AG40" i="73"/>
  <c r="AH40" i="73"/>
  <c r="AA41" i="73"/>
  <c r="AB41" i="73"/>
  <c r="AC41" i="73"/>
  <c r="AD41" i="73"/>
  <c r="AE41" i="73"/>
  <c r="AF41" i="73"/>
  <c r="AG41" i="73"/>
  <c r="AH41" i="73"/>
  <c r="AA42" i="73"/>
  <c r="AB42" i="73"/>
  <c r="AC42" i="73"/>
  <c r="AD42" i="73"/>
  <c r="AE42" i="73"/>
  <c r="AF42" i="73"/>
  <c r="AG42" i="73"/>
  <c r="AH42" i="73"/>
  <c r="Z18" i="73"/>
  <c r="Q19" i="73"/>
  <c r="R19" i="73"/>
  <c r="Q20" i="73"/>
  <c r="R20" i="73"/>
  <c r="Q21" i="73"/>
  <c r="R21" i="73"/>
  <c r="Q22" i="73"/>
  <c r="R22" i="73"/>
  <c r="Q23" i="73"/>
  <c r="R23" i="73"/>
  <c r="Q24" i="73"/>
  <c r="R24" i="73"/>
  <c r="Q25" i="73"/>
  <c r="R25" i="73"/>
  <c r="Q26" i="73"/>
  <c r="R26" i="73"/>
  <c r="Q27" i="73"/>
  <c r="R27" i="73"/>
  <c r="Q28" i="73"/>
  <c r="R28" i="73"/>
  <c r="Q29" i="73"/>
  <c r="R29" i="73"/>
  <c r="Q30" i="73"/>
  <c r="R30" i="73"/>
  <c r="Q31" i="73"/>
  <c r="R31" i="73"/>
  <c r="Q32" i="73"/>
  <c r="R32" i="73"/>
  <c r="Q33" i="73"/>
  <c r="R33" i="73"/>
  <c r="Q34" i="73"/>
  <c r="R34" i="73"/>
  <c r="Q35" i="73"/>
  <c r="R35" i="73"/>
  <c r="Q36" i="73"/>
  <c r="R36" i="73"/>
  <c r="Q37" i="73"/>
  <c r="R37" i="73"/>
  <c r="Q38" i="73"/>
  <c r="R38" i="73"/>
  <c r="Q39" i="73"/>
  <c r="R39" i="73"/>
  <c r="Q40" i="73"/>
  <c r="R40" i="73"/>
  <c r="Q41" i="73"/>
  <c r="R41" i="73"/>
  <c r="Q42" i="73"/>
  <c r="R42" i="73"/>
  <c r="P22" i="73"/>
  <c r="P23" i="73"/>
  <c r="P24" i="73"/>
  <c r="P25" i="73"/>
  <c r="P26" i="73"/>
  <c r="P27" i="73"/>
  <c r="P28" i="73"/>
  <c r="P29" i="73"/>
  <c r="P30" i="73"/>
  <c r="P31" i="73"/>
  <c r="P32" i="73"/>
  <c r="P33" i="73"/>
  <c r="P34" i="73"/>
  <c r="P35" i="73"/>
  <c r="P36" i="73"/>
  <c r="P37" i="73"/>
  <c r="P38" i="73"/>
  <c r="P39" i="73"/>
  <c r="P40" i="73"/>
  <c r="P41" i="73"/>
  <c r="P42" i="73"/>
  <c r="N19" i="73"/>
  <c r="O19" i="73"/>
  <c r="N20" i="73"/>
  <c r="O20" i="73"/>
  <c r="N21" i="73"/>
  <c r="O21" i="73"/>
  <c r="N22" i="73"/>
  <c r="O22" i="73"/>
  <c r="N23" i="73"/>
  <c r="O23" i="73"/>
  <c r="N24" i="73"/>
  <c r="O24" i="73"/>
  <c r="N25" i="73"/>
  <c r="O25" i="73"/>
  <c r="N26" i="73"/>
  <c r="O26" i="73"/>
  <c r="N27" i="73"/>
  <c r="O27" i="73"/>
  <c r="N28" i="73"/>
  <c r="O28" i="73"/>
  <c r="N29" i="73"/>
  <c r="O29" i="73"/>
  <c r="N30" i="73"/>
  <c r="O30" i="73"/>
  <c r="N31" i="73"/>
  <c r="O31" i="73"/>
  <c r="N32" i="73"/>
  <c r="O32" i="73"/>
  <c r="N33" i="73"/>
  <c r="O33" i="73"/>
  <c r="N34" i="73"/>
  <c r="O34" i="73"/>
  <c r="N35" i="73"/>
  <c r="O35" i="73"/>
  <c r="N36" i="73"/>
  <c r="O36" i="73"/>
  <c r="N37" i="73"/>
  <c r="O37" i="73"/>
  <c r="N38" i="73"/>
  <c r="O38" i="73"/>
  <c r="N39" i="73"/>
  <c r="O39" i="73"/>
  <c r="N40" i="73"/>
  <c r="O40" i="73"/>
  <c r="N41" i="73"/>
  <c r="O41" i="73"/>
  <c r="N42" i="73"/>
  <c r="O42" i="73"/>
  <c r="C27" i="73"/>
  <c r="C28" i="73"/>
  <c r="C29" i="73"/>
  <c r="C30" i="73"/>
  <c r="C31" i="73"/>
  <c r="C32" i="73"/>
  <c r="C33" i="73"/>
  <c r="C34" i="73"/>
  <c r="C35" i="73"/>
  <c r="C36" i="73"/>
  <c r="C37" i="73"/>
  <c r="C38" i="73"/>
  <c r="C39" i="73"/>
  <c r="C40" i="73"/>
  <c r="C41" i="73"/>
  <c r="C42" i="73"/>
  <c r="B26" i="73"/>
  <c r="B27" i="73"/>
  <c r="B28" i="73"/>
  <c r="B29" i="73"/>
  <c r="B30" i="73"/>
  <c r="B31" i="73"/>
  <c r="B32" i="73"/>
  <c r="B33" i="73"/>
  <c r="B34" i="73"/>
  <c r="B35" i="73"/>
  <c r="B36" i="73"/>
  <c r="B37" i="73"/>
  <c r="B38" i="73"/>
  <c r="B39" i="73"/>
  <c r="B40" i="73"/>
  <c r="B41" i="73"/>
  <c r="B42" i="73"/>
  <c r="A16" i="73"/>
  <c r="A17" i="73"/>
  <c r="A18" i="73"/>
  <c r="A19" i="73"/>
  <c r="A20" i="73"/>
  <c r="A21" i="73"/>
  <c r="A22" i="73"/>
  <c r="A23" i="73"/>
  <c r="A24" i="73"/>
  <c r="A25" i="73"/>
  <c r="A26" i="73"/>
  <c r="A27" i="73"/>
  <c r="A28" i="73"/>
  <c r="A29" i="73"/>
  <c r="A30" i="73"/>
  <c r="A31" i="73"/>
  <c r="A32" i="73"/>
  <c r="A33" i="73"/>
  <c r="A34" i="73"/>
  <c r="A35" i="73"/>
  <c r="A36" i="73"/>
  <c r="A37" i="73"/>
  <c r="A38" i="73"/>
  <c r="A39" i="73"/>
  <c r="A40" i="73"/>
  <c r="A41" i="73"/>
  <c r="A42" i="73"/>
  <c r="A43" i="73"/>
  <c r="P61" i="3"/>
  <c r="P60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P5" i="3"/>
  <c r="P4" i="3"/>
  <c r="P3" i="3"/>
  <c r="P2" i="3"/>
  <c r="E34" i="17"/>
  <c r="M43" i="84"/>
  <c r="M42" i="84"/>
  <c r="M41" i="84"/>
  <c r="M40" i="84"/>
  <c r="M39" i="84"/>
  <c r="M38" i="84"/>
  <c r="M37" i="84"/>
  <c r="M36" i="84"/>
  <c r="M35" i="84"/>
  <c r="M34" i="84"/>
  <c r="M33" i="84"/>
  <c r="M32" i="84"/>
  <c r="M31" i="84"/>
  <c r="M30" i="84"/>
  <c r="M29" i="84"/>
  <c r="M28" i="84"/>
  <c r="M27" i="84"/>
  <c r="M26" i="84"/>
  <c r="M25" i="84"/>
  <c r="M24" i="84"/>
  <c r="M23" i="84"/>
  <c r="M22" i="84"/>
  <c r="M21" i="84"/>
  <c r="M20" i="84"/>
  <c r="M19" i="84"/>
  <c r="M18" i="84"/>
  <c r="M17" i="84"/>
  <c r="M16" i="84"/>
  <c r="M15" i="84"/>
  <c r="M14" i="84"/>
  <c r="M43" i="83"/>
  <c r="M42" i="83"/>
  <c r="M41" i="83"/>
  <c r="M40" i="83"/>
  <c r="M39" i="83"/>
  <c r="M38" i="83"/>
  <c r="M37" i="83"/>
  <c r="M36" i="83"/>
  <c r="M35" i="83"/>
  <c r="M34" i="83"/>
  <c r="M33" i="83"/>
  <c r="M32" i="83"/>
  <c r="M31" i="83"/>
  <c r="M30" i="83"/>
  <c r="M29" i="83"/>
  <c r="M28" i="83"/>
  <c r="M27" i="83"/>
  <c r="M26" i="83"/>
  <c r="M25" i="83"/>
  <c r="M24" i="83"/>
  <c r="M23" i="83"/>
  <c r="M22" i="83"/>
  <c r="M21" i="83"/>
  <c r="M20" i="83"/>
  <c r="M19" i="83"/>
  <c r="M18" i="83"/>
  <c r="M17" i="83"/>
  <c r="M16" i="83"/>
  <c r="M15" i="83"/>
  <c r="M14" i="83"/>
  <c r="M43" i="82"/>
  <c r="M42" i="82"/>
  <c r="M41" i="82"/>
  <c r="M40" i="82"/>
  <c r="M39" i="82"/>
  <c r="M38" i="82"/>
  <c r="M37" i="82"/>
  <c r="M36" i="82"/>
  <c r="M35" i="82"/>
  <c r="M34" i="82"/>
  <c r="M33" i="82"/>
  <c r="M32" i="82"/>
  <c r="M31" i="82"/>
  <c r="M30" i="82"/>
  <c r="M29" i="82"/>
  <c r="M28" i="82"/>
  <c r="M27" i="82"/>
  <c r="M26" i="82"/>
  <c r="M25" i="82"/>
  <c r="M24" i="82"/>
  <c r="M23" i="82"/>
  <c r="M22" i="82"/>
  <c r="M21" i="82"/>
  <c r="M20" i="82"/>
  <c r="M19" i="82"/>
  <c r="M18" i="82"/>
  <c r="M17" i="82"/>
  <c r="M16" i="82"/>
  <c r="M15" i="82"/>
  <c r="M14" i="82"/>
  <c r="M44" i="87"/>
  <c r="M43" i="87"/>
  <c r="M42" i="87"/>
  <c r="M41" i="87"/>
  <c r="M40" i="87"/>
  <c r="M39" i="87"/>
  <c r="M38" i="87"/>
  <c r="M37" i="87"/>
  <c r="M36" i="87"/>
  <c r="M35" i="87"/>
  <c r="M34" i="87"/>
  <c r="M33" i="87"/>
  <c r="M32" i="87"/>
  <c r="M31" i="87"/>
  <c r="M30" i="87"/>
  <c r="M29" i="87"/>
  <c r="M28" i="87"/>
  <c r="M27" i="87"/>
  <c r="M26" i="87"/>
  <c r="M25" i="87"/>
  <c r="M24" i="87"/>
  <c r="M23" i="87"/>
  <c r="M22" i="87"/>
  <c r="M21" i="87"/>
  <c r="M20" i="87"/>
  <c r="M19" i="87"/>
  <c r="M18" i="87"/>
  <c r="M17" i="87"/>
  <c r="M16" i="87"/>
  <c r="M15" i="87"/>
  <c r="M14" i="87"/>
  <c r="M44" i="81"/>
  <c r="M43" i="81"/>
  <c r="M42" i="81"/>
  <c r="M41" i="81"/>
  <c r="M40" i="81"/>
  <c r="M39" i="81"/>
  <c r="M38" i="81"/>
  <c r="M37" i="81"/>
  <c r="M36" i="81"/>
  <c r="M35" i="81"/>
  <c r="M34" i="81"/>
  <c r="M33" i="81"/>
  <c r="M32" i="81"/>
  <c r="M31" i="81"/>
  <c r="M30" i="81"/>
  <c r="M29" i="81"/>
  <c r="M28" i="81"/>
  <c r="M27" i="81"/>
  <c r="M26" i="81"/>
  <c r="M25" i="81"/>
  <c r="M24" i="81"/>
  <c r="M23" i="81"/>
  <c r="M22" i="81"/>
  <c r="M21" i="81"/>
  <c r="M20" i="81"/>
  <c r="M19" i="81"/>
  <c r="M18" i="81"/>
  <c r="M17" i="81"/>
  <c r="M16" i="81"/>
  <c r="M15" i="81"/>
  <c r="M14" i="81"/>
  <c r="M44" i="80"/>
  <c r="M43" i="80"/>
  <c r="M42" i="80"/>
  <c r="M41" i="80"/>
  <c r="M40" i="80"/>
  <c r="M39" i="80"/>
  <c r="M38" i="80"/>
  <c r="M37" i="80"/>
  <c r="M36" i="80"/>
  <c r="M35" i="80"/>
  <c r="M34" i="80"/>
  <c r="M33" i="80"/>
  <c r="M32" i="80"/>
  <c r="M31" i="80"/>
  <c r="M30" i="80"/>
  <c r="M29" i="80"/>
  <c r="M28" i="80"/>
  <c r="M27" i="80"/>
  <c r="M26" i="80"/>
  <c r="M25" i="80"/>
  <c r="M24" i="80"/>
  <c r="M23" i="80"/>
  <c r="M22" i="80"/>
  <c r="M21" i="80"/>
  <c r="M20" i="80"/>
  <c r="M19" i="80"/>
  <c r="M18" i="80"/>
  <c r="M17" i="80"/>
  <c r="M16" i="80"/>
  <c r="M15" i="80"/>
  <c r="M14" i="80"/>
  <c r="M44" i="79"/>
  <c r="M43" i="79"/>
  <c r="M42" i="79"/>
  <c r="M41" i="79"/>
  <c r="M40" i="79"/>
  <c r="M39" i="79"/>
  <c r="M38" i="79"/>
  <c r="M37" i="79"/>
  <c r="M36" i="79"/>
  <c r="M35" i="79"/>
  <c r="M34" i="79"/>
  <c r="M33" i="79"/>
  <c r="M32" i="79"/>
  <c r="M31" i="79"/>
  <c r="M30" i="79"/>
  <c r="M29" i="79"/>
  <c r="M28" i="79"/>
  <c r="M27" i="79"/>
  <c r="M26" i="79"/>
  <c r="M25" i="79"/>
  <c r="M24" i="79"/>
  <c r="M23" i="79"/>
  <c r="M22" i="79"/>
  <c r="M21" i="79"/>
  <c r="M20" i="79"/>
  <c r="M19" i="79"/>
  <c r="M18" i="79"/>
  <c r="M17" i="79"/>
  <c r="M16" i="79"/>
  <c r="M15" i="79"/>
  <c r="M14" i="79"/>
  <c r="M44" i="78"/>
  <c r="M43" i="78"/>
  <c r="M42" i="78"/>
  <c r="M41" i="78"/>
  <c r="M40" i="78"/>
  <c r="M39" i="78"/>
  <c r="M38" i="78"/>
  <c r="M37" i="78"/>
  <c r="M36" i="78"/>
  <c r="M35" i="78"/>
  <c r="M34" i="78"/>
  <c r="M33" i="78"/>
  <c r="M32" i="78"/>
  <c r="M31" i="78"/>
  <c r="M30" i="78"/>
  <c r="M29" i="78"/>
  <c r="M28" i="78"/>
  <c r="M27" i="78"/>
  <c r="M26" i="78"/>
  <c r="M25" i="78"/>
  <c r="M24" i="78"/>
  <c r="M23" i="78"/>
  <c r="M22" i="78"/>
  <c r="M21" i="78"/>
  <c r="M20" i="78"/>
  <c r="M19" i="78"/>
  <c r="M18" i="78"/>
  <c r="M17" i="78"/>
  <c r="M16" i="78"/>
  <c r="M15" i="78"/>
  <c r="M14" i="78"/>
  <c r="M44" i="77"/>
  <c r="M43" i="77"/>
  <c r="M42" i="77"/>
  <c r="M41" i="77"/>
  <c r="M40" i="77"/>
  <c r="M39" i="77"/>
  <c r="M38" i="77"/>
  <c r="M37" i="77"/>
  <c r="M36" i="77"/>
  <c r="M35" i="77"/>
  <c r="M34" i="77"/>
  <c r="M33" i="77"/>
  <c r="M32" i="77"/>
  <c r="M31" i="77"/>
  <c r="M30" i="77"/>
  <c r="M29" i="77"/>
  <c r="M28" i="77"/>
  <c r="M27" i="77"/>
  <c r="M26" i="77"/>
  <c r="M25" i="77"/>
  <c r="M24" i="77"/>
  <c r="M23" i="77"/>
  <c r="M22" i="77"/>
  <c r="M21" i="77"/>
  <c r="M20" i="77"/>
  <c r="M19" i="77"/>
  <c r="M18" i="77"/>
  <c r="M17" i="77"/>
  <c r="M16" i="77"/>
  <c r="M15" i="77"/>
  <c r="M14" i="77"/>
  <c r="M44" i="76"/>
  <c r="M43" i="76"/>
  <c r="M42" i="76"/>
  <c r="M41" i="76"/>
  <c r="M40" i="76"/>
  <c r="M39" i="76"/>
  <c r="M38" i="76"/>
  <c r="M37" i="76"/>
  <c r="M36" i="76"/>
  <c r="M35" i="76"/>
  <c r="M34" i="76"/>
  <c r="M33" i="76"/>
  <c r="M32" i="76"/>
  <c r="M31" i="76"/>
  <c r="M30" i="76"/>
  <c r="M29" i="76"/>
  <c r="M28" i="76"/>
  <c r="M27" i="76"/>
  <c r="M26" i="76"/>
  <c r="M25" i="76"/>
  <c r="M24" i="76"/>
  <c r="M23" i="76"/>
  <c r="M22" i="76"/>
  <c r="M21" i="76"/>
  <c r="M20" i="76"/>
  <c r="M19" i="76"/>
  <c r="M18" i="76"/>
  <c r="M17" i="76"/>
  <c r="M16" i="76"/>
  <c r="M15" i="76"/>
  <c r="M14" i="76"/>
  <c r="M15" i="75"/>
  <c r="M16" i="75"/>
  <c r="M17" i="75"/>
  <c r="M18" i="75"/>
  <c r="M19" i="75"/>
  <c r="M20" i="75"/>
  <c r="M21" i="75"/>
  <c r="M22" i="75"/>
  <c r="M23" i="75"/>
  <c r="M24" i="75"/>
  <c r="M25" i="75"/>
  <c r="M26" i="75"/>
  <c r="M27" i="75"/>
  <c r="M28" i="75"/>
  <c r="M29" i="75"/>
  <c r="M30" i="75"/>
  <c r="M31" i="75"/>
  <c r="M32" i="75"/>
  <c r="M33" i="75"/>
  <c r="M34" i="75"/>
  <c r="M35" i="75"/>
  <c r="M36" i="75"/>
  <c r="M37" i="75"/>
  <c r="M38" i="75"/>
  <c r="M39" i="75"/>
  <c r="M40" i="75"/>
  <c r="M41" i="75"/>
  <c r="M42" i="75"/>
  <c r="M43" i="75"/>
  <c r="M14" i="75"/>
  <c r="M43" i="73"/>
  <c r="N14" i="73"/>
  <c r="N15" i="73"/>
  <c r="N16" i="73"/>
  <c r="N17" i="73"/>
  <c r="N18" i="73"/>
  <c r="N43" i="73"/>
  <c r="D8" i="73"/>
  <c r="B8" i="73"/>
  <c r="C14" i="73"/>
  <c r="B14" i="73"/>
  <c r="B82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A14" i="73"/>
  <c r="O14" i="73"/>
  <c r="C15" i="73"/>
  <c r="B15" i="73"/>
  <c r="A15" i="73"/>
  <c r="O15" i="73"/>
  <c r="C16" i="73"/>
  <c r="B16" i="73"/>
  <c r="O16" i="73"/>
  <c r="C17" i="73"/>
  <c r="B17" i="73"/>
  <c r="O17" i="73"/>
  <c r="C18" i="73"/>
  <c r="B18" i="73"/>
  <c r="O18" i="73"/>
  <c r="C19" i="73"/>
  <c r="B19" i="73"/>
  <c r="C20" i="73"/>
  <c r="B20" i="73"/>
  <c r="C21" i="73"/>
  <c r="B21" i="73"/>
  <c r="C22" i="73"/>
  <c r="B22" i="73"/>
  <c r="C23" i="73"/>
  <c r="B23" i="73"/>
  <c r="C24" i="73"/>
  <c r="B24" i="73"/>
  <c r="C25" i="73"/>
  <c r="B25" i="73"/>
  <c r="C26" i="73"/>
  <c r="O43" i="73"/>
  <c r="E52" i="73"/>
  <c r="I101" i="3"/>
  <c r="E36" i="17"/>
  <c r="E38" i="17"/>
  <c r="A101" i="3"/>
  <c r="B101" i="3"/>
  <c r="E101" i="3"/>
  <c r="A100" i="3"/>
  <c r="D13" i="73"/>
  <c r="M13" i="73"/>
  <c r="L13" i="73"/>
  <c r="E13" i="73"/>
  <c r="L43" i="73"/>
  <c r="K14" i="73"/>
  <c r="T14" i="73"/>
  <c r="K15" i="73"/>
  <c r="T15" i="73"/>
  <c r="K16" i="73"/>
  <c r="T16" i="73"/>
  <c r="K17" i="73"/>
  <c r="T17" i="73"/>
  <c r="W42" i="73" a="1"/>
  <c r="W42" i="73"/>
  <c r="E13" i="76"/>
  <c r="N6" i="73"/>
  <c r="E54" i="73"/>
  <c r="E54" i="87"/>
  <c r="E54" i="81"/>
  <c r="E54" i="80"/>
  <c r="E54" i="79"/>
  <c r="E54" i="78"/>
  <c r="E54" i="77"/>
  <c r="E54" i="76"/>
  <c r="N6" i="86"/>
  <c r="E54" i="86"/>
  <c r="E54" i="83"/>
  <c r="E54" i="82"/>
  <c r="E54" i="75"/>
  <c r="E54" i="84"/>
  <c r="AA43" i="84"/>
  <c r="AE43" i="84"/>
  <c r="AA42" i="84"/>
  <c r="AE42" i="84"/>
  <c r="AA41" i="84"/>
  <c r="AE41" i="84"/>
  <c r="AA40" i="84"/>
  <c r="AE40" i="84"/>
  <c r="AA39" i="84"/>
  <c r="AE39" i="84"/>
  <c r="AA38" i="84"/>
  <c r="AE38" i="84"/>
  <c r="AA37" i="84"/>
  <c r="AE37" i="84"/>
  <c r="AA36" i="84"/>
  <c r="AE36" i="84"/>
  <c r="AA35" i="84"/>
  <c r="AE35" i="84"/>
  <c r="AA34" i="84"/>
  <c r="AE34" i="84"/>
  <c r="AA33" i="84"/>
  <c r="AE33" i="84"/>
  <c r="AA32" i="84"/>
  <c r="AE32" i="84"/>
  <c r="AA31" i="84"/>
  <c r="AE31" i="84"/>
  <c r="AA30" i="84"/>
  <c r="AE30" i="84"/>
  <c r="AA29" i="84"/>
  <c r="AE29" i="84"/>
  <c r="AA28" i="84"/>
  <c r="AE28" i="84"/>
  <c r="AA27" i="84"/>
  <c r="AE27" i="84"/>
  <c r="AA26" i="84"/>
  <c r="AE26" i="84"/>
  <c r="AA25" i="84"/>
  <c r="AE25" i="84"/>
  <c r="AA24" i="84"/>
  <c r="AE24" i="84"/>
  <c r="AA23" i="84"/>
  <c r="AE23" i="84"/>
  <c r="AA22" i="84"/>
  <c r="AE22" i="84"/>
  <c r="AA21" i="84"/>
  <c r="AE21" i="84"/>
  <c r="AA20" i="84"/>
  <c r="AE20" i="84"/>
  <c r="AA19" i="84"/>
  <c r="AE19" i="84"/>
  <c r="AA18" i="84"/>
  <c r="AE18" i="84"/>
  <c r="AA17" i="84"/>
  <c r="AE17" i="84"/>
  <c r="AA16" i="84"/>
  <c r="AE16" i="84"/>
  <c r="AA15" i="84"/>
  <c r="AE15" i="84"/>
  <c r="AA14" i="84"/>
  <c r="AE14" i="84"/>
  <c r="AA43" i="83"/>
  <c r="AE43" i="83"/>
  <c r="AA42" i="83"/>
  <c r="AE42" i="83"/>
  <c r="AA41" i="83"/>
  <c r="AE41" i="83"/>
  <c r="AA40" i="83"/>
  <c r="AE40" i="83"/>
  <c r="AA39" i="83"/>
  <c r="AE39" i="83"/>
  <c r="AA38" i="83"/>
  <c r="AE38" i="83"/>
  <c r="AA37" i="83"/>
  <c r="AE37" i="83"/>
  <c r="AA36" i="83"/>
  <c r="AE36" i="83"/>
  <c r="AA35" i="83"/>
  <c r="AE35" i="83"/>
  <c r="AA34" i="83"/>
  <c r="AE34" i="83"/>
  <c r="AA33" i="83"/>
  <c r="AE33" i="83"/>
  <c r="AA32" i="83"/>
  <c r="AE32" i="83"/>
  <c r="AA31" i="83"/>
  <c r="AE31" i="83"/>
  <c r="AA30" i="83"/>
  <c r="AE30" i="83"/>
  <c r="AA29" i="83"/>
  <c r="AE29" i="83"/>
  <c r="AA28" i="83"/>
  <c r="AE28" i="83"/>
  <c r="AA27" i="83"/>
  <c r="AE27" i="83"/>
  <c r="AA26" i="83"/>
  <c r="AE26" i="83"/>
  <c r="AA25" i="83"/>
  <c r="AE25" i="83"/>
  <c r="AA24" i="83"/>
  <c r="AE24" i="83"/>
  <c r="AA23" i="83"/>
  <c r="AE23" i="83"/>
  <c r="AA22" i="83"/>
  <c r="AE22" i="83"/>
  <c r="AA21" i="83"/>
  <c r="AE21" i="83"/>
  <c r="AA20" i="83"/>
  <c r="AE20" i="83"/>
  <c r="AA19" i="83"/>
  <c r="AE19" i="83"/>
  <c r="AA18" i="83"/>
  <c r="AE18" i="83"/>
  <c r="AA17" i="83"/>
  <c r="AE17" i="83"/>
  <c r="AA16" i="83"/>
  <c r="AE16" i="83"/>
  <c r="AA15" i="83"/>
  <c r="AE15" i="83"/>
  <c r="AA14" i="83"/>
  <c r="AE14" i="83"/>
  <c r="AA43" i="82"/>
  <c r="AE43" i="82"/>
  <c r="AA42" i="82"/>
  <c r="AE42" i="82"/>
  <c r="AA41" i="82"/>
  <c r="AE41" i="82"/>
  <c r="AA40" i="82"/>
  <c r="AE40" i="82"/>
  <c r="AA39" i="82"/>
  <c r="AE39" i="82"/>
  <c r="AA38" i="82"/>
  <c r="AE38" i="82"/>
  <c r="AA37" i="82"/>
  <c r="AE37" i="82"/>
  <c r="AA36" i="82"/>
  <c r="AE36" i="82"/>
  <c r="AA35" i="82"/>
  <c r="AE35" i="82"/>
  <c r="AA34" i="82"/>
  <c r="AE34" i="82"/>
  <c r="AA33" i="82"/>
  <c r="AE33" i="82"/>
  <c r="AA32" i="82"/>
  <c r="AE32" i="82"/>
  <c r="AA31" i="82"/>
  <c r="AE31" i="82"/>
  <c r="AA30" i="82"/>
  <c r="AE30" i="82"/>
  <c r="AA29" i="82"/>
  <c r="AE29" i="82"/>
  <c r="AA28" i="82"/>
  <c r="AE28" i="82"/>
  <c r="AA27" i="82"/>
  <c r="AE27" i="82"/>
  <c r="AA26" i="82"/>
  <c r="AE26" i="82"/>
  <c r="AA25" i="82"/>
  <c r="AE25" i="82"/>
  <c r="AA24" i="82"/>
  <c r="AE24" i="82"/>
  <c r="AA23" i="82"/>
  <c r="AE23" i="82"/>
  <c r="AA22" i="82"/>
  <c r="AE22" i="82"/>
  <c r="AA21" i="82"/>
  <c r="AE21" i="82"/>
  <c r="AA20" i="82"/>
  <c r="AE20" i="82"/>
  <c r="AA19" i="82"/>
  <c r="AE19" i="82"/>
  <c r="AA18" i="82"/>
  <c r="AE18" i="82"/>
  <c r="AA17" i="82"/>
  <c r="AE17" i="82"/>
  <c r="AA16" i="82"/>
  <c r="AE16" i="82"/>
  <c r="AA15" i="82"/>
  <c r="AE15" i="82"/>
  <c r="AA14" i="82"/>
  <c r="AE14" i="82"/>
  <c r="AA15" i="75"/>
  <c r="AE15" i="75"/>
  <c r="AA16" i="75"/>
  <c r="AE16" i="75"/>
  <c r="AA17" i="75"/>
  <c r="AE17" i="75"/>
  <c r="AA18" i="75"/>
  <c r="AE18" i="75"/>
  <c r="AA19" i="75"/>
  <c r="AE19" i="75"/>
  <c r="AA20" i="75"/>
  <c r="AE20" i="75"/>
  <c r="AA21" i="75"/>
  <c r="AE21" i="75"/>
  <c r="AA22" i="75"/>
  <c r="AE22" i="75"/>
  <c r="AA23" i="75"/>
  <c r="AE23" i="75"/>
  <c r="AA24" i="75"/>
  <c r="AE24" i="75"/>
  <c r="AA25" i="75"/>
  <c r="AE25" i="75"/>
  <c r="AA26" i="75"/>
  <c r="AE26" i="75"/>
  <c r="AA27" i="75"/>
  <c r="AE27" i="75"/>
  <c r="AA28" i="75"/>
  <c r="AE28" i="75"/>
  <c r="AA29" i="75"/>
  <c r="AE29" i="75"/>
  <c r="AA30" i="75"/>
  <c r="AE30" i="75"/>
  <c r="AA31" i="75"/>
  <c r="AE31" i="75"/>
  <c r="AA32" i="75"/>
  <c r="AE32" i="75"/>
  <c r="AA33" i="75"/>
  <c r="AE33" i="75"/>
  <c r="AA34" i="75"/>
  <c r="AE34" i="75"/>
  <c r="AA35" i="75"/>
  <c r="AE35" i="75"/>
  <c r="AA36" i="75"/>
  <c r="AE36" i="75"/>
  <c r="AA37" i="75"/>
  <c r="AE37" i="75"/>
  <c r="AA38" i="75"/>
  <c r="AE38" i="75"/>
  <c r="AA39" i="75"/>
  <c r="AE39" i="75"/>
  <c r="AA40" i="75"/>
  <c r="AE40" i="75"/>
  <c r="AA41" i="75"/>
  <c r="AE41" i="75"/>
  <c r="AA42" i="75"/>
  <c r="AE42" i="75"/>
  <c r="AA43" i="75"/>
  <c r="AE43" i="75"/>
  <c r="AA14" i="75"/>
  <c r="AE14" i="75"/>
  <c r="AA15" i="73"/>
  <c r="AE15" i="73"/>
  <c r="AA16" i="73"/>
  <c r="AE16" i="73"/>
  <c r="AA17" i="73"/>
  <c r="AE17" i="73"/>
  <c r="AA18" i="73"/>
  <c r="AE18" i="73"/>
  <c r="AA14" i="73"/>
  <c r="AE14" i="73"/>
  <c r="AA44" i="87"/>
  <c r="AE44" i="87"/>
  <c r="AA43" i="87"/>
  <c r="AE43" i="87"/>
  <c r="AA42" i="87"/>
  <c r="AE42" i="87"/>
  <c r="AA41" i="87"/>
  <c r="AE41" i="87"/>
  <c r="AA40" i="87"/>
  <c r="AE40" i="87"/>
  <c r="AA39" i="87"/>
  <c r="AE39" i="87"/>
  <c r="AA38" i="87"/>
  <c r="AE38" i="87"/>
  <c r="AA37" i="87"/>
  <c r="AE37" i="87"/>
  <c r="AA36" i="87"/>
  <c r="AE36" i="87"/>
  <c r="AA35" i="87"/>
  <c r="AE35" i="87"/>
  <c r="AA34" i="87"/>
  <c r="AE34" i="87"/>
  <c r="AA33" i="87"/>
  <c r="AE33" i="87"/>
  <c r="AA32" i="87"/>
  <c r="AE32" i="87"/>
  <c r="AA31" i="87"/>
  <c r="AE31" i="87"/>
  <c r="AA30" i="87"/>
  <c r="AE30" i="87"/>
  <c r="AA29" i="87"/>
  <c r="AE29" i="87"/>
  <c r="AA28" i="87"/>
  <c r="AE28" i="87"/>
  <c r="AA27" i="87"/>
  <c r="AE27" i="87"/>
  <c r="AA26" i="87"/>
  <c r="AE26" i="87"/>
  <c r="AA25" i="87"/>
  <c r="AE25" i="87"/>
  <c r="AA24" i="87"/>
  <c r="AE24" i="87"/>
  <c r="AA23" i="87"/>
  <c r="AE23" i="87"/>
  <c r="AA22" i="87"/>
  <c r="AE22" i="87"/>
  <c r="AA21" i="87"/>
  <c r="AE21" i="87"/>
  <c r="AA20" i="87"/>
  <c r="AE20" i="87"/>
  <c r="AA19" i="87"/>
  <c r="AE19" i="87"/>
  <c r="AA18" i="87"/>
  <c r="AE18" i="87"/>
  <c r="AA17" i="87"/>
  <c r="AE17" i="87"/>
  <c r="AA16" i="87"/>
  <c r="AE16" i="87"/>
  <c r="AA15" i="87"/>
  <c r="AE15" i="87"/>
  <c r="AA14" i="87"/>
  <c r="AE14" i="87"/>
  <c r="AA44" i="81"/>
  <c r="AE44" i="81"/>
  <c r="AA43" i="81"/>
  <c r="AE43" i="81"/>
  <c r="AA42" i="81"/>
  <c r="AE42" i="81"/>
  <c r="AA41" i="81"/>
  <c r="AE41" i="81"/>
  <c r="AA40" i="81"/>
  <c r="AE40" i="81"/>
  <c r="AA39" i="81"/>
  <c r="AE39" i="81"/>
  <c r="AA38" i="81"/>
  <c r="AE38" i="81"/>
  <c r="AA37" i="81"/>
  <c r="AE37" i="81"/>
  <c r="AA36" i="81"/>
  <c r="AE36" i="81"/>
  <c r="AA35" i="81"/>
  <c r="AE35" i="81"/>
  <c r="AA34" i="81"/>
  <c r="AE34" i="81"/>
  <c r="AA33" i="81"/>
  <c r="AE33" i="81"/>
  <c r="AA32" i="81"/>
  <c r="AE32" i="81"/>
  <c r="AA31" i="81"/>
  <c r="AE31" i="81"/>
  <c r="AA30" i="81"/>
  <c r="AE30" i="81"/>
  <c r="AA29" i="81"/>
  <c r="AE29" i="81"/>
  <c r="AA28" i="81"/>
  <c r="AE28" i="81"/>
  <c r="AA27" i="81"/>
  <c r="AE27" i="81"/>
  <c r="AA26" i="81"/>
  <c r="AE26" i="81"/>
  <c r="AA25" i="81"/>
  <c r="AE25" i="81"/>
  <c r="AA24" i="81"/>
  <c r="AE24" i="81"/>
  <c r="AA23" i="81"/>
  <c r="AE23" i="81"/>
  <c r="AA22" i="81"/>
  <c r="AE22" i="81"/>
  <c r="AA21" i="81"/>
  <c r="AE21" i="81"/>
  <c r="AA20" i="81"/>
  <c r="AE20" i="81"/>
  <c r="AA19" i="81"/>
  <c r="AE19" i="81"/>
  <c r="AA18" i="81"/>
  <c r="AE18" i="81"/>
  <c r="AA17" i="81"/>
  <c r="AE17" i="81"/>
  <c r="AA16" i="81"/>
  <c r="AE16" i="81"/>
  <c r="AA15" i="81"/>
  <c r="AE15" i="81"/>
  <c r="AA14" i="81"/>
  <c r="AE14" i="81"/>
  <c r="AA44" i="80"/>
  <c r="AE44" i="80"/>
  <c r="AA43" i="80"/>
  <c r="AE43" i="80"/>
  <c r="AA42" i="80"/>
  <c r="AE42" i="80"/>
  <c r="AA41" i="80"/>
  <c r="AE41" i="80"/>
  <c r="AA40" i="80"/>
  <c r="AE40" i="80"/>
  <c r="AA39" i="80"/>
  <c r="AE39" i="80"/>
  <c r="AA38" i="80"/>
  <c r="AE38" i="80"/>
  <c r="AA37" i="80"/>
  <c r="AE37" i="80"/>
  <c r="AA36" i="80"/>
  <c r="AE36" i="80"/>
  <c r="AA35" i="80"/>
  <c r="AE35" i="80"/>
  <c r="AA34" i="80"/>
  <c r="AE34" i="80"/>
  <c r="AA33" i="80"/>
  <c r="AE33" i="80"/>
  <c r="AA32" i="80"/>
  <c r="AE32" i="80"/>
  <c r="AA31" i="80"/>
  <c r="AE31" i="80"/>
  <c r="AA30" i="80"/>
  <c r="AE30" i="80"/>
  <c r="AA29" i="80"/>
  <c r="AE29" i="80"/>
  <c r="AA28" i="80"/>
  <c r="AE28" i="80"/>
  <c r="AA27" i="80"/>
  <c r="AE27" i="80"/>
  <c r="AA26" i="80"/>
  <c r="AE26" i="80"/>
  <c r="AA25" i="80"/>
  <c r="AE25" i="80"/>
  <c r="AA24" i="80"/>
  <c r="AE24" i="80"/>
  <c r="AA23" i="80"/>
  <c r="AE23" i="80"/>
  <c r="AA22" i="80"/>
  <c r="AE22" i="80"/>
  <c r="AA21" i="80"/>
  <c r="AE21" i="80"/>
  <c r="AA20" i="80"/>
  <c r="AE20" i="80"/>
  <c r="AA19" i="80"/>
  <c r="AE19" i="80"/>
  <c r="AA18" i="80"/>
  <c r="AE18" i="80"/>
  <c r="AA17" i="80"/>
  <c r="AE17" i="80"/>
  <c r="AA16" i="80"/>
  <c r="AE16" i="80"/>
  <c r="AA15" i="80"/>
  <c r="AE15" i="80"/>
  <c r="AA14" i="80"/>
  <c r="AE14" i="80"/>
  <c r="AA44" i="79"/>
  <c r="AE44" i="79"/>
  <c r="AA43" i="79"/>
  <c r="AE43" i="79"/>
  <c r="AA42" i="79"/>
  <c r="AE42" i="79"/>
  <c r="AA41" i="79"/>
  <c r="AE41" i="79"/>
  <c r="AA40" i="79"/>
  <c r="AE40" i="79"/>
  <c r="AA39" i="79"/>
  <c r="AE39" i="79"/>
  <c r="AA38" i="79"/>
  <c r="AE38" i="79"/>
  <c r="AA37" i="79"/>
  <c r="AE37" i="79"/>
  <c r="AA36" i="79"/>
  <c r="AE36" i="79"/>
  <c r="AA35" i="79"/>
  <c r="AE35" i="79"/>
  <c r="AA34" i="79"/>
  <c r="AE34" i="79"/>
  <c r="AA33" i="79"/>
  <c r="AE33" i="79"/>
  <c r="AA32" i="79"/>
  <c r="AE32" i="79"/>
  <c r="AA31" i="79"/>
  <c r="AE31" i="79"/>
  <c r="AA30" i="79"/>
  <c r="AE30" i="79"/>
  <c r="AA29" i="79"/>
  <c r="AE29" i="79"/>
  <c r="AA28" i="79"/>
  <c r="AE28" i="79"/>
  <c r="AA27" i="79"/>
  <c r="AE27" i="79"/>
  <c r="AA26" i="79"/>
  <c r="AE26" i="79"/>
  <c r="AA25" i="79"/>
  <c r="AE25" i="79"/>
  <c r="AA24" i="79"/>
  <c r="AE24" i="79"/>
  <c r="AA23" i="79"/>
  <c r="AE23" i="79"/>
  <c r="AA22" i="79"/>
  <c r="AE22" i="79"/>
  <c r="AA21" i="79"/>
  <c r="AE21" i="79"/>
  <c r="AA20" i="79"/>
  <c r="AE20" i="79"/>
  <c r="AA19" i="79"/>
  <c r="AE19" i="79"/>
  <c r="AA18" i="79"/>
  <c r="AE18" i="79"/>
  <c r="AA17" i="79"/>
  <c r="AE17" i="79"/>
  <c r="AA16" i="79"/>
  <c r="AE16" i="79"/>
  <c r="AA15" i="79"/>
  <c r="AE15" i="79"/>
  <c r="AA14" i="79"/>
  <c r="AE14" i="79"/>
  <c r="AA44" i="78"/>
  <c r="AE44" i="78"/>
  <c r="AA43" i="78"/>
  <c r="AE43" i="78"/>
  <c r="AA42" i="78"/>
  <c r="AE42" i="78"/>
  <c r="AA41" i="78"/>
  <c r="AE41" i="78"/>
  <c r="AA40" i="78"/>
  <c r="AE40" i="78"/>
  <c r="AA39" i="78"/>
  <c r="AE39" i="78"/>
  <c r="AA38" i="78"/>
  <c r="AE38" i="78"/>
  <c r="AA37" i="78"/>
  <c r="AE37" i="78"/>
  <c r="AA36" i="78"/>
  <c r="AE36" i="78"/>
  <c r="AA35" i="78"/>
  <c r="AE35" i="78"/>
  <c r="AA34" i="78"/>
  <c r="AE34" i="78"/>
  <c r="AA33" i="78"/>
  <c r="AE33" i="78"/>
  <c r="AA32" i="78"/>
  <c r="AE32" i="78"/>
  <c r="AA31" i="78"/>
  <c r="AE31" i="78"/>
  <c r="AA30" i="78"/>
  <c r="AE30" i="78"/>
  <c r="AA29" i="78"/>
  <c r="AE29" i="78"/>
  <c r="AA28" i="78"/>
  <c r="AE28" i="78"/>
  <c r="AA27" i="78"/>
  <c r="AE27" i="78"/>
  <c r="AA26" i="78"/>
  <c r="AE26" i="78"/>
  <c r="AA25" i="78"/>
  <c r="AE25" i="78"/>
  <c r="AA24" i="78"/>
  <c r="AE24" i="78"/>
  <c r="AA23" i="78"/>
  <c r="AE23" i="78"/>
  <c r="AA22" i="78"/>
  <c r="AE22" i="78"/>
  <c r="AA21" i="78"/>
  <c r="AE21" i="78"/>
  <c r="AA20" i="78"/>
  <c r="AE20" i="78"/>
  <c r="AA19" i="78"/>
  <c r="AE19" i="78"/>
  <c r="AA18" i="78"/>
  <c r="AE18" i="78"/>
  <c r="AA17" i="78"/>
  <c r="AE17" i="78"/>
  <c r="AA16" i="78"/>
  <c r="AE16" i="78"/>
  <c r="AA15" i="78"/>
  <c r="AE15" i="78"/>
  <c r="AA14" i="78"/>
  <c r="AE14" i="78"/>
  <c r="AA44" i="77"/>
  <c r="AE44" i="77"/>
  <c r="AA43" i="77"/>
  <c r="AE43" i="77"/>
  <c r="AA42" i="77"/>
  <c r="AE42" i="77"/>
  <c r="AA41" i="77"/>
  <c r="AE41" i="77"/>
  <c r="AA40" i="77"/>
  <c r="AE40" i="77"/>
  <c r="AA39" i="77"/>
  <c r="AE39" i="77"/>
  <c r="AA38" i="77"/>
  <c r="AE38" i="77"/>
  <c r="AA37" i="77"/>
  <c r="AE37" i="77"/>
  <c r="AA36" i="77"/>
  <c r="AE36" i="77"/>
  <c r="AA35" i="77"/>
  <c r="AE35" i="77"/>
  <c r="AA34" i="77"/>
  <c r="AE34" i="77"/>
  <c r="AA33" i="77"/>
  <c r="AE33" i="77"/>
  <c r="AA32" i="77"/>
  <c r="AE32" i="77"/>
  <c r="AA31" i="77"/>
  <c r="AE31" i="77"/>
  <c r="AA30" i="77"/>
  <c r="AE30" i="77"/>
  <c r="AA29" i="77"/>
  <c r="AE29" i="77"/>
  <c r="AA28" i="77"/>
  <c r="AE28" i="77"/>
  <c r="AA27" i="77"/>
  <c r="AE27" i="77"/>
  <c r="AA26" i="77"/>
  <c r="AE26" i="77"/>
  <c r="AA25" i="77"/>
  <c r="AE25" i="77"/>
  <c r="AA24" i="77"/>
  <c r="AE24" i="77"/>
  <c r="AA23" i="77"/>
  <c r="AE23" i="77"/>
  <c r="AA22" i="77"/>
  <c r="AE22" i="77"/>
  <c r="AA21" i="77"/>
  <c r="AE21" i="77"/>
  <c r="AA20" i="77"/>
  <c r="AE20" i="77"/>
  <c r="AA19" i="77"/>
  <c r="AE19" i="77"/>
  <c r="AA18" i="77"/>
  <c r="AE18" i="77"/>
  <c r="AA17" i="77"/>
  <c r="AE17" i="77"/>
  <c r="AA16" i="77"/>
  <c r="AE16" i="77"/>
  <c r="AA15" i="77"/>
  <c r="AE15" i="77"/>
  <c r="AA14" i="77"/>
  <c r="AE14" i="77"/>
  <c r="AA44" i="76"/>
  <c r="AE44" i="76"/>
  <c r="AA43" i="76"/>
  <c r="AE43" i="76"/>
  <c r="AA42" i="76"/>
  <c r="AE42" i="76"/>
  <c r="AA41" i="76"/>
  <c r="AE41" i="76"/>
  <c r="AA40" i="76"/>
  <c r="AE40" i="76"/>
  <c r="AA39" i="76"/>
  <c r="AE39" i="76"/>
  <c r="AA38" i="76"/>
  <c r="AE38" i="76"/>
  <c r="AA37" i="76"/>
  <c r="AE37" i="76"/>
  <c r="AA36" i="76"/>
  <c r="AE36" i="76"/>
  <c r="AA35" i="76"/>
  <c r="AE35" i="76"/>
  <c r="AA34" i="76"/>
  <c r="AE34" i="76"/>
  <c r="AA33" i="76"/>
  <c r="AE33" i="76"/>
  <c r="AA32" i="76"/>
  <c r="AE32" i="76"/>
  <c r="AA31" i="76"/>
  <c r="AE31" i="76"/>
  <c r="AA30" i="76"/>
  <c r="AE30" i="76"/>
  <c r="AA29" i="76"/>
  <c r="AE29" i="76"/>
  <c r="AA28" i="76"/>
  <c r="AE28" i="76"/>
  <c r="AA27" i="76"/>
  <c r="AE27" i="76"/>
  <c r="AA26" i="76"/>
  <c r="AE26" i="76"/>
  <c r="AA25" i="76"/>
  <c r="AE25" i="76"/>
  <c r="AA24" i="76"/>
  <c r="AE24" i="76"/>
  <c r="AA23" i="76"/>
  <c r="AE23" i="76"/>
  <c r="AA22" i="76"/>
  <c r="AE22" i="76"/>
  <c r="AA21" i="76"/>
  <c r="AE21" i="76"/>
  <c r="AA20" i="76"/>
  <c r="AE20" i="76"/>
  <c r="AA19" i="76"/>
  <c r="AE19" i="76"/>
  <c r="AA18" i="76"/>
  <c r="AE18" i="76"/>
  <c r="AA17" i="76"/>
  <c r="AE17" i="76"/>
  <c r="AA16" i="76"/>
  <c r="AE16" i="76"/>
  <c r="AA15" i="76"/>
  <c r="AE15" i="76"/>
  <c r="AA14" i="76"/>
  <c r="AE14" i="76"/>
  <c r="AA15" i="86"/>
  <c r="AE15" i="86"/>
  <c r="AA16" i="86"/>
  <c r="AE16" i="86"/>
  <c r="AA17" i="86"/>
  <c r="AE17" i="86"/>
  <c r="AA18" i="86"/>
  <c r="AE18" i="86"/>
  <c r="AA19" i="86"/>
  <c r="AE19" i="86"/>
  <c r="AA20" i="86"/>
  <c r="AE20" i="86"/>
  <c r="AA21" i="86"/>
  <c r="AE21" i="86"/>
  <c r="AA22" i="86"/>
  <c r="AE22" i="86"/>
  <c r="AA23" i="86"/>
  <c r="AE23" i="86"/>
  <c r="AA24" i="86"/>
  <c r="AE24" i="86"/>
  <c r="AA25" i="86"/>
  <c r="AE25" i="86"/>
  <c r="AA26" i="86"/>
  <c r="AE26" i="86"/>
  <c r="AA27" i="86"/>
  <c r="AE27" i="86"/>
  <c r="AA28" i="86"/>
  <c r="AE28" i="86"/>
  <c r="AA29" i="86"/>
  <c r="AE29" i="86"/>
  <c r="AA30" i="86"/>
  <c r="AE30" i="86"/>
  <c r="AA31" i="86"/>
  <c r="AE31" i="86"/>
  <c r="AA32" i="86"/>
  <c r="AE32" i="86"/>
  <c r="AA33" i="86"/>
  <c r="AE33" i="86"/>
  <c r="AA34" i="86"/>
  <c r="AE34" i="86"/>
  <c r="AA35" i="86"/>
  <c r="AE35" i="86"/>
  <c r="AA36" i="86"/>
  <c r="AE36" i="86"/>
  <c r="AA37" i="86"/>
  <c r="AE37" i="86"/>
  <c r="AA38" i="86"/>
  <c r="AE38" i="86"/>
  <c r="AA39" i="86"/>
  <c r="AE39" i="86"/>
  <c r="AA40" i="86"/>
  <c r="AE40" i="86"/>
  <c r="AA41" i="86"/>
  <c r="AE41" i="86"/>
  <c r="AA42" i="86"/>
  <c r="AE42" i="86"/>
  <c r="AA43" i="86"/>
  <c r="AE43" i="86"/>
  <c r="AA44" i="86"/>
  <c r="AE44" i="86"/>
  <c r="AA14" i="86"/>
  <c r="AE14" i="86"/>
  <c r="N43" i="84"/>
  <c r="D8" i="84"/>
  <c r="B8" i="84"/>
  <c r="C14" i="84"/>
  <c r="C15" i="84"/>
  <c r="C16" i="84"/>
  <c r="C17" i="84"/>
  <c r="C18" i="84"/>
  <c r="C19" i="84"/>
  <c r="C20" i="84"/>
  <c r="C21" i="84"/>
  <c r="C22" i="84"/>
  <c r="C23" i="84"/>
  <c r="C24" i="84"/>
  <c r="C25" i="84"/>
  <c r="C26" i="84"/>
  <c r="C27" i="84"/>
  <c r="C28" i="84"/>
  <c r="C29" i="84"/>
  <c r="C30" i="84"/>
  <c r="C31" i="84"/>
  <c r="C32" i="84"/>
  <c r="C33" i="84"/>
  <c r="C34" i="84"/>
  <c r="C35" i="84"/>
  <c r="C36" i="84"/>
  <c r="C37" i="84"/>
  <c r="C38" i="84"/>
  <c r="C39" i="84"/>
  <c r="C40" i="84"/>
  <c r="C41" i="84"/>
  <c r="C42" i="84"/>
  <c r="C43" i="84"/>
  <c r="B43" i="84"/>
  <c r="A43" i="84"/>
  <c r="O43" i="84"/>
  <c r="P43" i="84"/>
  <c r="N42" i="84"/>
  <c r="B42" i="84"/>
  <c r="A42" i="84"/>
  <c r="O42" i="84"/>
  <c r="P42" i="84"/>
  <c r="N41" i="84"/>
  <c r="B41" i="84"/>
  <c r="A41" i="84"/>
  <c r="O41" i="84"/>
  <c r="P41" i="84"/>
  <c r="N40" i="84"/>
  <c r="B40" i="84"/>
  <c r="A40" i="84"/>
  <c r="O40" i="84"/>
  <c r="P40" i="84"/>
  <c r="N39" i="84"/>
  <c r="B39" i="84"/>
  <c r="A39" i="84"/>
  <c r="O39" i="84"/>
  <c r="P39" i="84"/>
  <c r="N38" i="84"/>
  <c r="B38" i="84"/>
  <c r="A38" i="84"/>
  <c r="O38" i="84"/>
  <c r="P38" i="84"/>
  <c r="N37" i="84"/>
  <c r="B37" i="84"/>
  <c r="A37" i="84"/>
  <c r="O37" i="84"/>
  <c r="P37" i="84"/>
  <c r="N36" i="84"/>
  <c r="B36" i="84"/>
  <c r="A36" i="84"/>
  <c r="O36" i="84"/>
  <c r="P36" i="84"/>
  <c r="N35" i="84"/>
  <c r="B35" i="84"/>
  <c r="A35" i="84"/>
  <c r="O35" i="84"/>
  <c r="P35" i="84"/>
  <c r="N34" i="84"/>
  <c r="B34" i="84"/>
  <c r="A34" i="84"/>
  <c r="O34" i="84"/>
  <c r="P34" i="84"/>
  <c r="N33" i="84"/>
  <c r="B33" i="84"/>
  <c r="A33" i="84"/>
  <c r="O33" i="84"/>
  <c r="P33" i="84"/>
  <c r="N32" i="84"/>
  <c r="B32" i="84"/>
  <c r="A32" i="84"/>
  <c r="O32" i="84"/>
  <c r="P32" i="84"/>
  <c r="N31" i="84"/>
  <c r="B31" i="84"/>
  <c r="A31" i="84"/>
  <c r="O31" i="84"/>
  <c r="P31" i="84"/>
  <c r="N30" i="84"/>
  <c r="B30" i="84"/>
  <c r="A30" i="84"/>
  <c r="O30" i="84"/>
  <c r="P30" i="84"/>
  <c r="N29" i="84"/>
  <c r="B29" i="84"/>
  <c r="A29" i="84"/>
  <c r="O29" i="84"/>
  <c r="P29" i="84"/>
  <c r="N28" i="84"/>
  <c r="B28" i="84"/>
  <c r="A28" i="84"/>
  <c r="O28" i="84"/>
  <c r="P28" i="84"/>
  <c r="N27" i="84"/>
  <c r="B27" i="84"/>
  <c r="A27" i="84"/>
  <c r="O27" i="84"/>
  <c r="P27" i="84"/>
  <c r="N26" i="84"/>
  <c r="B26" i="84"/>
  <c r="A26" i="84"/>
  <c r="O26" i="84"/>
  <c r="P26" i="84"/>
  <c r="N25" i="84"/>
  <c r="B25" i="84"/>
  <c r="A25" i="84"/>
  <c r="O25" i="84"/>
  <c r="P25" i="84"/>
  <c r="N24" i="84"/>
  <c r="B24" i="84"/>
  <c r="A24" i="84"/>
  <c r="O24" i="84"/>
  <c r="P24" i="84"/>
  <c r="N23" i="84"/>
  <c r="B23" i="84"/>
  <c r="A23" i="84"/>
  <c r="O23" i="84"/>
  <c r="P23" i="84"/>
  <c r="N22" i="84"/>
  <c r="B22" i="84"/>
  <c r="A22" i="84"/>
  <c r="O22" i="84"/>
  <c r="P22" i="84"/>
  <c r="N21" i="84"/>
  <c r="B21" i="84"/>
  <c r="A21" i="84"/>
  <c r="O21" i="84"/>
  <c r="P21" i="84"/>
  <c r="N20" i="84"/>
  <c r="B20" i="84"/>
  <c r="A20" i="84"/>
  <c r="O20" i="84"/>
  <c r="P20" i="84"/>
  <c r="N19" i="84"/>
  <c r="B19" i="84"/>
  <c r="A19" i="84"/>
  <c r="O19" i="84"/>
  <c r="P19" i="84"/>
  <c r="N18" i="84"/>
  <c r="B18" i="84"/>
  <c r="A18" i="84"/>
  <c r="O18" i="84"/>
  <c r="P18" i="84"/>
  <c r="N17" i="84"/>
  <c r="B17" i="84"/>
  <c r="A17" i="84"/>
  <c r="O17" i="84"/>
  <c r="P17" i="84"/>
  <c r="N16" i="84"/>
  <c r="B16" i="84"/>
  <c r="A16" i="84"/>
  <c r="O16" i="84"/>
  <c r="P16" i="84"/>
  <c r="N15" i="84"/>
  <c r="B15" i="84"/>
  <c r="A15" i="84"/>
  <c r="O15" i="84"/>
  <c r="P15" i="84"/>
  <c r="N14" i="84"/>
  <c r="B14" i="84"/>
  <c r="A14" i="84"/>
  <c r="O14" i="84"/>
  <c r="P14" i="84"/>
  <c r="N43" i="83"/>
  <c r="D8" i="83"/>
  <c r="B8" i="83"/>
  <c r="C14" i="83"/>
  <c r="C15" i="83"/>
  <c r="C16" i="83"/>
  <c r="C17" i="83"/>
  <c r="C18" i="83"/>
  <c r="C19" i="83"/>
  <c r="C20" i="83"/>
  <c r="C21" i="83"/>
  <c r="C22" i="83"/>
  <c r="C23" i="83"/>
  <c r="C24" i="83"/>
  <c r="C25" i="83"/>
  <c r="C26" i="83"/>
  <c r="C27" i="83"/>
  <c r="C28" i="83"/>
  <c r="C29" i="83"/>
  <c r="C30" i="83"/>
  <c r="C31" i="83"/>
  <c r="C32" i="83"/>
  <c r="C33" i="83"/>
  <c r="C34" i="83"/>
  <c r="C35" i="83"/>
  <c r="C36" i="83"/>
  <c r="C37" i="83"/>
  <c r="C38" i="83"/>
  <c r="C39" i="83"/>
  <c r="C40" i="83"/>
  <c r="C41" i="83"/>
  <c r="C42" i="83"/>
  <c r="C43" i="83"/>
  <c r="B43" i="83"/>
  <c r="A43" i="83"/>
  <c r="O43" i="83"/>
  <c r="P43" i="83"/>
  <c r="N42" i="83"/>
  <c r="B42" i="83"/>
  <c r="A42" i="83"/>
  <c r="O42" i="83"/>
  <c r="P42" i="83"/>
  <c r="N41" i="83"/>
  <c r="B41" i="83"/>
  <c r="A41" i="83"/>
  <c r="O41" i="83"/>
  <c r="P41" i="83"/>
  <c r="N40" i="83"/>
  <c r="B40" i="83"/>
  <c r="A40" i="83"/>
  <c r="O40" i="83"/>
  <c r="P40" i="83"/>
  <c r="N39" i="83"/>
  <c r="B39" i="83"/>
  <c r="A39" i="83"/>
  <c r="O39" i="83"/>
  <c r="P39" i="83"/>
  <c r="N38" i="83"/>
  <c r="B38" i="83"/>
  <c r="A38" i="83"/>
  <c r="O38" i="83"/>
  <c r="P38" i="83"/>
  <c r="N37" i="83"/>
  <c r="B37" i="83"/>
  <c r="A37" i="83"/>
  <c r="O37" i="83"/>
  <c r="P37" i="83"/>
  <c r="N36" i="83"/>
  <c r="B36" i="83"/>
  <c r="A36" i="83"/>
  <c r="O36" i="83"/>
  <c r="P36" i="83"/>
  <c r="N35" i="83"/>
  <c r="B35" i="83"/>
  <c r="A35" i="83"/>
  <c r="O35" i="83"/>
  <c r="P35" i="83"/>
  <c r="N34" i="83"/>
  <c r="B34" i="83"/>
  <c r="A34" i="83"/>
  <c r="O34" i="83"/>
  <c r="P34" i="83"/>
  <c r="N33" i="83"/>
  <c r="B33" i="83"/>
  <c r="A33" i="83"/>
  <c r="O33" i="83"/>
  <c r="P33" i="83"/>
  <c r="N32" i="83"/>
  <c r="B32" i="83"/>
  <c r="A32" i="83"/>
  <c r="O32" i="83"/>
  <c r="P32" i="83"/>
  <c r="N31" i="83"/>
  <c r="B31" i="83"/>
  <c r="A31" i="83"/>
  <c r="O31" i="83"/>
  <c r="P31" i="83"/>
  <c r="N30" i="83"/>
  <c r="B30" i="83"/>
  <c r="A30" i="83"/>
  <c r="O30" i="83"/>
  <c r="P30" i="83"/>
  <c r="N29" i="83"/>
  <c r="B29" i="83"/>
  <c r="A29" i="83"/>
  <c r="O29" i="83"/>
  <c r="P29" i="83"/>
  <c r="N28" i="83"/>
  <c r="B28" i="83"/>
  <c r="A28" i="83"/>
  <c r="O28" i="83"/>
  <c r="P28" i="83"/>
  <c r="N27" i="83"/>
  <c r="B27" i="83"/>
  <c r="A27" i="83"/>
  <c r="O27" i="83"/>
  <c r="P27" i="83"/>
  <c r="N26" i="83"/>
  <c r="B26" i="83"/>
  <c r="A26" i="83"/>
  <c r="O26" i="83"/>
  <c r="P26" i="83"/>
  <c r="N25" i="83"/>
  <c r="B25" i="83"/>
  <c r="A25" i="83"/>
  <c r="O25" i="83"/>
  <c r="P25" i="83"/>
  <c r="N24" i="83"/>
  <c r="B24" i="83"/>
  <c r="A24" i="83"/>
  <c r="O24" i="83"/>
  <c r="P24" i="83"/>
  <c r="N23" i="83"/>
  <c r="B23" i="83"/>
  <c r="A23" i="83"/>
  <c r="O23" i="83"/>
  <c r="P23" i="83"/>
  <c r="N22" i="83"/>
  <c r="B22" i="83"/>
  <c r="A22" i="83"/>
  <c r="O22" i="83"/>
  <c r="P22" i="83"/>
  <c r="N21" i="83"/>
  <c r="B21" i="83"/>
  <c r="A21" i="83"/>
  <c r="O21" i="83"/>
  <c r="P21" i="83"/>
  <c r="N20" i="83"/>
  <c r="B20" i="83"/>
  <c r="A20" i="83"/>
  <c r="O20" i="83"/>
  <c r="P20" i="83"/>
  <c r="N19" i="83"/>
  <c r="B19" i="83"/>
  <c r="A19" i="83"/>
  <c r="O19" i="83"/>
  <c r="P19" i="83"/>
  <c r="N18" i="83"/>
  <c r="B18" i="83"/>
  <c r="A18" i="83"/>
  <c r="O18" i="83"/>
  <c r="P18" i="83"/>
  <c r="N17" i="83"/>
  <c r="B17" i="83"/>
  <c r="A17" i="83"/>
  <c r="O17" i="83"/>
  <c r="P17" i="83"/>
  <c r="N16" i="83"/>
  <c r="B16" i="83"/>
  <c r="A16" i="83"/>
  <c r="O16" i="83"/>
  <c r="P16" i="83"/>
  <c r="N15" i="83"/>
  <c r="B15" i="83"/>
  <c r="A15" i="83"/>
  <c r="O15" i="83"/>
  <c r="P15" i="83"/>
  <c r="N14" i="83"/>
  <c r="B14" i="83"/>
  <c r="A14" i="83"/>
  <c r="O14" i="83"/>
  <c r="P14" i="83"/>
  <c r="N43" i="82"/>
  <c r="D8" i="82"/>
  <c r="B8" i="82"/>
  <c r="C14" i="82"/>
  <c r="C15" i="82"/>
  <c r="C16" i="82"/>
  <c r="C17" i="82"/>
  <c r="C18" i="82"/>
  <c r="C19" i="82"/>
  <c r="C20" i="82"/>
  <c r="C21" i="82"/>
  <c r="C22" i="82"/>
  <c r="C23" i="82"/>
  <c r="C24" i="82"/>
  <c r="C25" i="82"/>
  <c r="C26" i="82"/>
  <c r="C27" i="82"/>
  <c r="C28" i="82"/>
  <c r="C29" i="82"/>
  <c r="C30" i="82"/>
  <c r="C31" i="82"/>
  <c r="C32" i="82"/>
  <c r="C33" i="82"/>
  <c r="C34" i="82"/>
  <c r="C35" i="82"/>
  <c r="C36" i="82"/>
  <c r="C37" i="82"/>
  <c r="C38" i="82"/>
  <c r="C39" i="82"/>
  <c r="C40" i="82"/>
  <c r="C41" i="82"/>
  <c r="C42" i="82"/>
  <c r="C43" i="82"/>
  <c r="B43" i="82"/>
  <c r="A43" i="82"/>
  <c r="O43" i="82"/>
  <c r="P43" i="82"/>
  <c r="N42" i="82"/>
  <c r="B42" i="82"/>
  <c r="A42" i="82"/>
  <c r="O42" i="82"/>
  <c r="P42" i="82"/>
  <c r="N41" i="82"/>
  <c r="B41" i="82"/>
  <c r="A41" i="82"/>
  <c r="O41" i="82"/>
  <c r="P41" i="82"/>
  <c r="N40" i="82"/>
  <c r="B40" i="82"/>
  <c r="A40" i="82"/>
  <c r="O40" i="82"/>
  <c r="P40" i="82"/>
  <c r="N39" i="82"/>
  <c r="B39" i="82"/>
  <c r="A39" i="82"/>
  <c r="O39" i="82"/>
  <c r="P39" i="82"/>
  <c r="N38" i="82"/>
  <c r="B38" i="82"/>
  <c r="A38" i="82"/>
  <c r="O38" i="82"/>
  <c r="P38" i="82"/>
  <c r="N37" i="82"/>
  <c r="B37" i="82"/>
  <c r="A37" i="82"/>
  <c r="O37" i="82"/>
  <c r="P37" i="82"/>
  <c r="N36" i="82"/>
  <c r="B36" i="82"/>
  <c r="A36" i="82"/>
  <c r="O36" i="82"/>
  <c r="P36" i="82"/>
  <c r="N35" i="82"/>
  <c r="B35" i="82"/>
  <c r="A35" i="82"/>
  <c r="O35" i="82"/>
  <c r="P35" i="82"/>
  <c r="N34" i="82"/>
  <c r="B34" i="82"/>
  <c r="A34" i="82"/>
  <c r="O34" i="82"/>
  <c r="P34" i="82"/>
  <c r="N33" i="82"/>
  <c r="B33" i="82"/>
  <c r="A33" i="82"/>
  <c r="O33" i="82"/>
  <c r="P33" i="82"/>
  <c r="N32" i="82"/>
  <c r="B32" i="82"/>
  <c r="A32" i="82"/>
  <c r="O32" i="82"/>
  <c r="P32" i="82"/>
  <c r="N31" i="82"/>
  <c r="B31" i="82"/>
  <c r="A31" i="82"/>
  <c r="O31" i="82"/>
  <c r="P31" i="82"/>
  <c r="N30" i="82"/>
  <c r="B30" i="82"/>
  <c r="A30" i="82"/>
  <c r="O30" i="82"/>
  <c r="P30" i="82"/>
  <c r="N29" i="82"/>
  <c r="B29" i="82"/>
  <c r="A29" i="82"/>
  <c r="O29" i="82"/>
  <c r="P29" i="82"/>
  <c r="N28" i="82"/>
  <c r="B28" i="82"/>
  <c r="A28" i="82"/>
  <c r="O28" i="82"/>
  <c r="P28" i="82"/>
  <c r="N27" i="82"/>
  <c r="B27" i="82"/>
  <c r="A27" i="82"/>
  <c r="O27" i="82"/>
  <c r="P27" i="82"/>
  <c r="N26" i="82"/>
  <c r="B26" i="82"/>
  <c r="A26" i="82"/>
  <c r="O26" i="82"/>
  <c r="P26" i="82"/>
  <c r="N25" i="82"/>
  <c r="B25" i="82"/>
  <c r="A25" i="82"/>
  <c r="O25" i="82"/>
  <c r="P25" i="82"/>
  <c r="N24" i="82"/>
  <c r="B24" i="82"/>
  <c r="A24" i="82"/>
  <c r="O24" i="82"/>
  <c r="P24" i="82"/>
  <c r="N23" i="82"/>
  <c r="B23" i="82"/>
  <c r="A23" i="82"/>
  <c r="O23" i="82"/>
  <c r="P23" i="82"/>
  <c r="N22" i="82"/>
  <c r="B22" i="82"/>
  <c r="A22" i="82"/>
  <c r="O22" i="82"/>
  <c r="P22" i="82"/>
  <c r="N21" i="82"/>
  <c r="B21" i="82"/>
  <c r="A21" i="82"/>
  <c r="O21" i="82"/>
  <c r="P21" i="82"/>
  <c r="N20" i="82"/>
  <c r="B20" i="82"/>
  <c r="A20" i="82"/>
  <c r="O20" i="82"/>
  <c r="P20" i="82"/>
  <c r="N19" i="82"/>
  <c r="B19" i="82"/>
  <c r="A19" i="82"/>
  <c r="O19" i="82"/>
  <c r="P19" i="82"/>
  <c r="N18" i="82"/>
  <c r="B18" i="82"/>
  <c r="A18" i="82"/>
  <c r="O18" i="82"/>
  <c r="P18" i="82"/>
  <c r="N17" i="82"/>
  <c r="B17" i="82"/>
  <c r="A17" i="82"/>
  <c r="O17" i="82"/>
  <c r="P17" i="82"/>
  <c r="N16" i="82"/>
  <c r="B16" i="82"/>
  <c r="A16" i="82"/>
  <c r="O16" i="82"/>
  <c r="P16" i="82"/>
  <c r="N15" i="82"/>
  <c r="B15" i="82"/>
  <c r="A15" i="82"/>
  <c r="O15" i="82"/>
  <c r="P15" i="82"/>
  <c r="N14" i="82"/>
  <c r="B14" i="82"/>
  <c r="A14" i="82"/>
  <c r="O14" i="82"/>
  <c r="P14" i="82"/>
  <c r="N15" i="75"/>
  <c r="D8" i="75"/>
  <c r="B8" i="75"/>
  <c r="C14" i="75"/>
  <c r="C15" i="75"/>
  <c r="B15" i="75"/>
  <c r="A15" i="75"/>
  <c r="O15" i="75"/>
  <c r="P15" i="75"/>
  <c r="N16" i="75"/>
  <c r="C16" i="75"/>
  <c r="B16" i="75"/>
  <c r="A16" i="75"/>
  <c r="O16" i="75"/>
  <c r="P16" i="75"/>
  <c r="N17" i="75"/>
  <c r="C17" i="75"/>
  <c r="B17" i="75"/>
  <c r="A17" i="75"/>
  <c r="O17" i="75"/>
  <c r="P17" i="75"/>
  <c r="N18" i="75"/>
  <c r="C18" i="75"/>
  <c r="B18" i="75"/>
  <c r="A18" i="75"/>
  <c r="O18" i="75"/>
  <c r="P18" i="75"/>
  <c r="N19" i="75"/>
  <c r="C19" i="75"/>
  <c r="B19" i="75"/>
  <c r="A19" i="75"/>
  <c r="O19" i="75"/>
  <c r="P19" i="75"/>
  <c r="N20" i="75"/>
  <c r="C20" i="75"/>
  <c r="B20" i="75"/>
  <c r="A20" i="75"/>
  <c r="O20" i="75"/>
  <c r="P20" i="75"/>
  <c r="N21" i="75"/>
  <c r="C21" i="75"/>
  <c r="B21" i="75"/>
  <c r="A21" i="75"/>
  <c r="O21" i="75"/>
  <c r="P21" i="75"/>
  <c r="N22" i="75"/>
  <c r="C22" i="75"/>
  <c r="B22" i="75"/>
  <c r="A22" i="75"/>
  <c r="O22" i="75"/>
  <c r="P22" i="75"/>
  <c r="N23" i="75"/>
  <c r="C23" i="75"/>
  <c r="B23" i="75"/>
  <c r="A23" i="75"/>
  <c r="O23" i="75"/>
  <c r="P23" i="75"/>
  <c r="N24" i="75"/>
  <c r="C24" i="75"/>
  <c r="B24" i="75"/>
  <c r="A24" i="75"/>
  <c r="O24" i="75"/>
  <c r="P24" i="75"/>
  <c r="N25" i="75"/>
  <c r="C25" i="75"/>
  <c r="B25" i="75"/>
  <c r="A25" i="75"/>
  <c r="O25" i="75"/>
  <c r="P25" i="75"/>
  <c r="N26" i="75"/>
  <c r="C26" i="75"/>
  <c r="B26" i="75"/>
  <c r="A26" i="75"/>
  <c r="O26" i="75"/>
  <c r="P26" i="75"/>
  <c r="N27" i="75"/>
  <c r="C27" i="75"/>
  <c r="B27" i="75"/>
  <c r="A27" i="75"/>
  <c r="O27" i="75"/>
  <c r="P27" i="75"/>
  <c r="N28" i="75"/>
  <c r="C28" i="75"/>
  <c r="B28" i="75"/>
  <c r="A28" i="75"/>
  <c r="O28" i="75"/>
  <c r="P28" i="75"/>
  <c r="N29" i="75"/>
  <c r="C29" i="75"/>
  <c r="B29" i="75"/>
  <c r="A29" i="75"/>
  <c r="O29" i="75"/>
  <c r="P29" i="75"/>
  <c r="N30" i="75"/>
  <c r="C30" i="75"/>
  <c r="B30" i="75"/>
  <c r="A30" i="75"/>
  <c r="O30" i="75"/>
  <c r="P30" i="75"/>
  <c r="N31" i="75"/>
  <c r="C31" i="75"/>
  <c r="B31" i="75"/>
  <c r="A31" i="75"/>
  <c r="O31" i="75"/>
  <c r="P31" i="75"/>
  <c r="N32" i="75"/>
  <c r="C32" i="75"/>
  <c r="B32" i="75"/>
  <c r="A32" i="75"/>
  <c r="O32" i="75"/>
  <c r="P32" i="75"/>
  <c r="N33" i="75"/>
  <c r="C33" i="75"/>
  <c r="B33" i="75"/>
  <c r="A33" i="75"/>
  <c r="O33" i="75"/>
  <c r="P33" i="75"/>
  <c r="N34" i="75"/>
  <c r="C34" i="75"/>
  <c r="B34" i="75"/>
  <c r="A34" i="75"/>
  <c r="O34" i="75"/>
  <c r="P34" i="75"/>
  <c r="N35" i="75"/>
  <c r="C35" i="75"/>
  <c r="B35" i="75"/>
  <c r="A35" i="75"/>
  <c r="O35" i="75"/>
  <c r="P35" i="75"/>
  <c r="N36" i="75"/>
  <c r="C36" i="75"/>
  <c r="B36" i="75"/>
  <c r="A36" i="75"/>
  <c r="O36" i="75"/>
  <c r="P36" i="75"/>
  <c r="N37" i="75"/>
  <c r="C37" i="75"/>
  <c r="B37" i="75"/>
  <c r="A37" i="75"/>
  <c r="O37" i="75"/>
  <c r="P37" i="75"/>
  <c r="N38" i="75"/>
  <c r="C38" i="75"/>
  <c r="B38" i="75"/>
  <c r="A38" i="75"/>
  <c r="O38" i="75"/>
  <c r="P38" i="75"/>
  <c r="N39" i="75"/>
  <c r="C39" i="75"/>
  <c r="B39" i="75"/>
  <c r="A39" i="75"/>
  <c r="O39" i="75"/>
  <c r="P39" i="75"/>
  <c r="N40" i="75"/>
  <c r="C40" i="75"/>
  <c r="B40" i="75"/>
  <c r="A40" i="75"/>
  <c r="O40" i="75"/>
  <c r="P40" i="75"/>
  <c r="N41" i="75"/>
  <c r="C41" i="75"/>
  <c r="B41" i="75"/>
  <c r="A41" i="75"/>
  <c r="O41" i="75"/>
  <c r="P41" i="75"/>
  <c r="N42" i="75"/>
  <c r="C42" i="75"/>
  <c r="B42" i="75"/>
  <c r="A42" i="75"/>
  <c r="O42" i="75"/>
  <c r="P42" i="75"/>
  <c r="N43" i="75"/>
  <c r="C43" i="75"/>
  <c r="B43" i="75"/>
  <c r="A43" i="75"/>
  <c r="O43" i="75"/>
  <c r="P43" i="75"/>
  <c r="N14" i="75"/>
  <c r="B14" i="75"/>
  <c r="A14" i="75"/>
  <c r="O14" i="75"/>
  <c r="P14" i="75"/>
  <c r="P15" i="73"/>
  <c r="P16" i="73"/>
  <c r="P17" i="73"/>
  <c r="P18" i="73"/>
  <c r="P19" i="73"/>
  <c r="P20" i="73"/>
  <c r="P21" i="73"/>
  <c r="P14" i="73"/>
  <c r="N15" i="87"/>
  <c r="D8" i="87"/>
  <c r="B8" i="87"/>
  <c r="C14" i="87"/>
  <c r="C15" i="87"/>
  <c r="B15" i="87"/>
  <c r="C82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A15" i="87"/>
  <c r="O15" i="87"/>
  <c r="P15" i="87"/>
  <c r="N16" i="87"/>
  <c r="C16" i="87"/>
  <c r="B16" i="87"/>
  <c r="A16" i="87"/>
  <c r="O16" i="87"/>
  <c r="P16" i="87"/>
  <c r="N17" i="87"/>
  <c r="C17" i="87"/>
  <c r="B17" i="87"/>
  <c r="A17" i="87"/>
  <c r="O17" i="87"/>
  <c r="P17" i="87"/>
  <c r="N18" i="87"/>
  <c r="C18" i="87"/>
  <c r="B18" i="87"/>
  <c r="A18" i="87"/>
  <c r="O18" i="87"/>
  <c r="P18" i="87"/>
  <c r="N19" i="87"/>
  <c r="C19" i="87"/>
  <c r="B19" i="87"/>
  <c r="A19" i="87"/>
  <c r="O19" i="87"/>
  <c r="P19" i="87"/>
  <c r="N20" i="87"/>
  <c r="C20" i="87"/>
  <c r="B20" i="87"/>
  <c r="A20" i="87"/>
  <c r="O20" i="87"/>
  <c r="P20" i="87"/>
  <c r="N21" i="87"/>
  <c r="C21" i="87"/>
  <c r="B21" i="87"/>
  <c r="A21" i="87"/>
  <c r="O21" i="87"/>
  <c r="P21" i="87"/>
  <c r="N22" i="87"/>
  <c r="C22" i="87"/>
  <c r="B22" i="87"/>
  <c r="A22" i="87"/>
  <c r="O22" i="87"/>
  <c r="P22" i="87"/>
  <c r="N23" i="87"/>
  <c r="C23" i="87"/>
  <c r="B23" i="87"/>
  <c r="A23" i="87"/>
  <c r="O23" i="87"/>
  <c r="P23" i="87"/>
  <c r="N24" i="87"/>
  <c r="C24" i="87"/>
  <c r="B24" i="87"/>
  <c r="A24" i="87"/>
  <c r="O24" i="87"/>
  <c r="P24" i="87"/>
  <c r="N25" i="87"/>
  <c r="C25" i="87"/>
  <c r="B25" i="87"/>
  <c r="A25" i="87"/>
  <c r="O25" i="87"/>
  <c r="P25" i="87"/>
  <c r="N26" i="87"/>
  <c r="C26" i="87"/>
  <c r="B26" i="87"/>
  <c r="A26" i="87"/>
  <c r="O26" i="87"/>
  <c r="P26" i="87"/>
  <c r="N27" i="87"/>
  <c r="C27" i="87"/>
  <c r="B27" i="87"/>
  <c r="A27" i="87"/>
  <c r="O27" i="87"/>
  <c r="P27" i="87"/>
  <c r="N28" i="87"/>
  <c r="C28" i="87"/>
  <c r="B28" i="87"/>
  <c r="A28" i="87"/>
  <c r="O28" i="87"/>
  <c r="P28" i="87"/>
  <c r="N29" i="87"/>
  <c r="C29" i="87"/>
  <c r="B29" i="87"/>
  <c r="A29" i="87"/>
  <c r="O29" i="87"/>
  <c r="P29" i="87"/>
  <c r="N30" i="87"/>
  <c r="C30" i="87"/>
  <c r="B30" i="87"/>
  <c r="A30" i="87"/>
  <c r="O30" i="87"/>
  <c r="P30" i="87"/>
  <c r="N31" i="87"/>
  <c r="C31" i="87"/>
  <c r="B31" i="87"/>
  <c r="A31" i="87"/>
  <c r="O31" i="87"/>
  <c r="P31" i="87"/>
  <c r="N32" i="87"/>
  <c r="C32" i="87"/>
  <c r="B32" i="87"/>
  <c r="A32" i="87"/>
  <c r="O32" i="87"/>
  <c r="P32" i="87"/>
  <c r="N33" i="87"/>
  <c r="C33" i="87"/>
  <c r="B33" i="87"/>
  <c r="A33" i="87"/>
  <c r="O33" i="87"/>
  <c r="P33" i="87"/>
  <c r="N34" i="87"/>
  <c r="C34" i="87"/>
  <c r="B34" i="87"/>
  <c r="A34" i="87"/>
  <c r="O34" i="87"/>
  <c r="P34" i="87"/>
  <c r="N35" i="87"/>
  <c r="C35" i="87"/>
  <c r="B35" i="87"/>
  <c r="A35" i="87"/>
  <c r="O35" i="87"/>
  <c r="P35" i="87"/>
  <c r="N36" i="87"/>
  <c r="C36" i="87"/>
  <c r="B36" i="87"/>
  <c r="A36" i="87"/>
  <c r="O36" i="87"/>
  <c r="P36" i="87"/>
  <c r="N37" i="87"/>
  <c r="C37" i="87"/>
  <c r="B37" i="87"/>
  <c r="A37" i="87"/>
  <c r="O37" i="87"/>
  <c r="P37" i="87"/>
  <c r="N38" i="87"/>
  <c r="C38" i="87"/>
  <c r="B38" i="87"/>
  <c r="A38" i="87"/>
  <c r="O38" i="87"/>
  <c r="P38" i="87"/>
  <c r="N39" i="87"/>
  <c r="C39" i="87"/>
  <c r="B39" i="87"/>
  <c r="A39" i="87"/>
  <c r="O39" i="87"/>
  <c r="P39" i="87"/>
  <c r="N40" i="87"/>
  <c r="C40" i="87"/>
  <c r="B40" i="87"/>
  <c r="A40" i="87"/>
  <c r="O40" i="87"/>
  <c r="P40" i="87"/>
  <c r="N41" i="87"/>
  <c r="C41" i="87"/>
  <c r="B41" i="87"/>
  <c r="A41" i="87"/>
  <c r="O41" i="87"/>
  <c r="P41" i="87"/>
  <c r="N42" i="87"/>
  <c r="C42" i="87"/>
  <c r="B42" i="87"/>
  <c r="A42" i="87"/>
  <c r="O42" i="87"/>
  <c r="P42" i="87"/>
  <c r="N43" i="87"/>
  <c r="C43" i="87"/>
  <c r="B43" i="87"/>
  <c r="A43" i="87"/>
  <c r="O43" i="87"/>
  <c r="P43" i="87"/>
  <c r="N44" i="87"/>
  <c r="C44" i="87"/>
  <c r="B44" i="87"/>
  <c r="A44" i="87"/>
  <c r="O44" i="87"/>
  <c r="P44" i="87"/>
  <c r="N15" i="81"/>
  <c r="D8" i="81"/>
  <c r="B8" i="81"/>
  <c r="C14" i="81"/>
  <c r="C15" i="81"/>
  <c r="B15" i="81"/>
  <c r="A15" i="81"/>
  <c r="O15" i="81"/>
  <c r="P15" i="81"/>
  <c r="N16" i="81"/>
  <c r="C16" i="81"/>
  <c r="B16" i="81"/>
  <c r="A16" i="81"/>
  <c r="O16" i="81"/>
  <c r="P16" i="81"/>
  <c r="N17" i="81"/>
  <c r="C17" i="81"/>
  <c r="B17" i="81"/>
  <c r="A17" i="81"/>
  <c r="O17" i="81"/>
  <c r="P17" i="81"/>
  <c r="N18" i="81"/>
  <c r="C18" i="81"/>
  <c r="B18" i="81"/>
  <c r="A18" i="81"/>
  <c r="O18" i="81"/>
  <c r="P18" i="81"/>
  <c r="N19" i="81"/>
  <c r="C19" i="81"/>
  <c r="B19" i="81"/>
  <c r="A19" i="81"/>
  <c r="O19" i="81"/>
  <c r="P19" i="81"/>
  <c r="N20" i="81"/>
  <c r="C20" i="81"/>
  <c r="B20" i="81"/>
  <c r="A20" i="81"/>
  <c r="O20" i="81"/>
  <c r="P20" i="81"/>
  <c r="N21" i="81"/>
  <c r="C21" i="81"/>
  <c r="B21" i="81"/>
  <c r="A21" i="81"/>
  <c r="O21" i="81"/>
  <c r="P21" i="81"/>
  <c r="N22" i="81"/>
  <c r="C22" i="81"/>
  <c r="B22" i="81"/>
  <c r="A22" i="81"/>
  <c r="O22" i="81"/>
  <c r="P22" i="81"/>
  <c r="N23" i="81"/>
  <c r="C23" i="81"/>
  <c r="B23" i="81"/>
  <c r="A23" i="81"/>
  <c r="O23" i="81"/>
  <c r="P23" i="81"/>
  <c r="N24" i="81"/>
  <c r="C24" i="81"/>
  <c r="B24" i="81"/>
  <c r="A24" i="81"/>
  <c r="O24" i="81"/>
  <c r="P24" i="81"/>
  <c r="N25" i="81"/>
  <c r="C25" i="81"/>
  <c r="B25" i="81"/>
  <c r="A25" i="81"/>
  <c r="O25" i="81"/>
  <c r="P25" i="81"/>
  <c r="N26" i="81"/>
  <c r="C26" i="81"/>
  <c r="B26" i="81"/>
  <c r="A26" i="81"/>
  <c r="O26" i="81"/>
  <c r="P26" i="81"/>
  <c r="N27" i="81"/>
  <c r="C27" i="81"/>
  <c r="B27" i="81"/>
  <c r="A27" i="81"/>
  <c r="O27" i="81"/>
  <c r="P27" i="81"/>
  <c r="N28" i="81"/>
  <c r="C28" i="81"/>
  <c r="B28" i="81"/>
  <c r="A28" i="81"/>
  <c r="O28" i="81"/>
  <c r="P28" i="81"/>
  <c r="N29" i="81"/>
  <c r="C29" i="81"/>
  <c r="B29" i="81"/>
  <c r="A29" i="81"/>
  <c r="O29" i="81"/>
  <c r="P29" i="81"/>
  <c r="N30" i="81"/>
  <c r="C30" i="81"/>
  <c r="B30" i="81"/>
  <c r="A30" i="81"/>
  <c r="O30" i="81"/>
  <c r="P30" i="81"/>
  <c r="N31" i="81"/>
  <c r="C31" i="81"/>
  <c r="B31" i="81"/>
  <c r="A31" i="81"/>
  <c r="O31" i="81"/>
  <c r="P31" i="81"/>
  <c r="N32" i="81"/>
  <c r="C32" i="81"/>
  <c r="B32" i="81"/>
  <c r="A32" i="81"/>
  <c r="O32" i="81"/>
  <c r="P32" i="81"/>
  <c r="N33" i="81"/>
  <c r="C33" i="81"/>
  <c r="B33" i="81"/>
  <c r="A33" i="81"/>
  <c r="O33" i="81"/>
  <c r="P33" i="81"/>
  <c r="N34" i="81"/>
  <c r="C34" i="81"/>
  <c r="B34" i="81"/>
  <c r="A34" i="81"/>
  <c r="O34" i="81"/>
  <c r="P34" i="81"/>
  <c r="N35" i="81"/>
  <c r="C35" i="81"/>
  <c r="B35" i="81"/>
  <c r="A35" i="81"/>
  <c r="O35" i="81"/>
  <c r="P35" i="81"/>
  <c r="N36" i="81"/>
  <c r="C36" i="81"/>
  <c r="B36" i="81"/>
  <c r="A36" i="81"/>
  <c r="O36" i="81"/>
  <c r="P36" i="81"/>
  <c r="N37" i="81"/>
  <c r="C37" i="81"/>
  <c r="B37" i="81"/>
  <c r="A37" i="81"/>
  <c r="O37" i="81"/>
  <c r="P37" i="81"/>
  <c r="N38" i="81"/>
  <c r="C38" i="81"/>
  <c r="B38" i="81"/>
  <c r="A38" i="81"/>
  <c r="O38" i="81"/>
  <c r="P38" i="81"/>
  <c r="N39" i="81"/>
  <c r="C39" i="81"/>
  <c r="B39" i="81"/>
  <c r="A39" i="81"/>
  <c r="O39" i="81"/>
  <c r="P39" i="81"/>
  <c r="N40" i="81"/>
  <c r="C40" i="81"/>
  <c r="B40" i="81"/>
  <c r="A40" i="81"/>
  <c r="O40" i="81"/>
  <c r="P40" i="81"/>
  <c r="N41" i="81"/>
  <c r="C41" i="81"/>
  <c r="B41" i="81"/>
  <c r="A41" i="81"/>
  <c r="O41" i="81"/>
  <c r="P41" i="81"/>
  <c r="N42" i="81"/>
  <c r="C42" i="81"/>
  <c r="B42" i="81"/>
  <c r="A42" i="81"/>
  <c r="O42" i="81"/>
  <c r="P42" i="81"/>
  <c r="N43" i="81"/>
  <c r="C43" i="81"/>
  <c r="B43" i="81"/>
  <c r="A43" i="81"/>
  <c r="O43" i="81"/>
  <c r="P43" i="81"/>
  <c r="N44" i="81"/>
  <c r="C44" i="81"/>
  <c r="B44" i="81"/>
  <c r="A44" i="81"/>
  <c r="O44" i="81"/>
  <c r="P44" i="81"/>
  <c r="N15" i="80"/>
  <c r="D8" i="80"/>
  <c r="B8" i="80"/>
  <c r="C14" i="80"/>
  <c r="C15" i="80"/>
  <c r="B15" i="80"/>
  <c r="A15" i="80"/>
  <c r="O15" i="80"/>
  <c r="P15" i="80"/>
  <c r="N16" i="80"/>
  <c r="C16" i="80"/>
  <c r="B16" i="80"/>
  <c r="A16" i="80"/>
  <c r="O16" i="80"/>
  <c r="P16" i="80"/>
  <c r="N17" i="80"/>
  <c r="C17" i="80"/>
  <c r="B17" i="80"/>
  <c r="A17" i="80"/>
  <c r="O17" i="80"/>
  <c r="P17" i="80"/>
  <c r="N18" i="80"/>
  <c r="C18" i="80"/>
  <c r="B18" i="80"/>
  <c r="A18" i="80"/>
  <c r="O18" i="80"/>
  <c r="P18" i="80"/>
  <c r="N19" i="80"/>
  <c r="C19" i="80"/>
  <c r="B19" i="80"/>
  <c r="A19" i="80"/>
  <c r="O19" i="80"/>
  <c r="P19" i="80"/>
  <c r="N20" i="80"/>
  <c r="C20" i="80"/>
  <c r="B20" i="80"/>
  <c r="A20" i="80"/>
  <c r="O20" i="80"/>
  <c r="P20" i="80"/>
  <c r="N21" i="80"/>
  <c r="C21" i="80"/>
  <c r="B21" i="80"/>
  <c r="A21" i="80"/>
  <c r="O21" i="80"/>
  <c r="P21" i="80"/>
  <c r="N22" i="80"/>
  <c r="C22" i="80"/>
  <c r="B22" i="80"/>
  <c r="A22" i="80"/>
  <c r="O22" i="80"/>
  <c r="P22" i="80"/>
  <c r="N23" i="80"/>
  <c r="C23" i="80"/>
  <c r="B23" i="80"/>
  <c r="A23" i="80"/>
  <c r="O23" i="80"/>
  <c r="P23" i="80"/>
  <c r="N24" i="80"/>
  <c r="C24" i="80"/>
  <c r="B24" i="80"/>
  <c r="A24" i="80"/>
  <c r="O24" i="80"/>
  <c r="P24" i="80"/>
  <c r="N25" i="80"/>
  <c r="C25" i="80"/>
  <c r="B25" i="80"/>
  <c r="A25" i="80"/>
  <c r="O25" i="80"/>
  <c r="P25" i="80"/>
  <c r="N26" i="80"/>
  <c r="C26" i="80"/>
  <c r="B26" i="80"/>
  <c r="A26" i="80"/>
  <c r="O26" i="80"/>
  <c r="P26" i="80"/>
  <c r="N27" i="80"/>
  <c r="C27" i="80"/>
  <c r="B27" i="80"/>
  <c r="A27" i="80"/>
  <c r="O27" i="80"/>
  <c r="P27" i="80"/>
  <c r="N28" i="80"/>
  <c r="C28" i="80"/>
  <c r="B28" i="80"/>
  <c r="A28" i="80"/>
  <c r="O28" i="80"/>
  <c r="P28" i="80"/>
  <c r="N29" i="80"/>
  <c r="C29" i="80"/>
  <c r="B29" i="80"/>
  <c r="A29" i="80"/>
  <c r="O29" i="80"/>
  <c r="P29" i="80"/>
  <c r="N30" i="80"/>
  <c r="C30" i="80"/>
  <c r="B30" i="80"/>
  <c r="A30" i="80"/>
  <c r="O30" i="80"/>
  <c r="P30" i="80"/>
  <c r="N31" i="80"/>
  <c r="C31" i="80"/>
  <c r="B31" i="80"/>
  <c r="A31" i="80"/>
  <c r="O31" i="80"/>
  <c r="P31" i="80"/>
  <c r="N32" i="80"/>
  <c r="C32" i="80"/>
  <c r="B32" i="80"/>
  <c r="A32" i="80"/>
  <c r="O32" i="80"/>
  <c r="P32" i="80"/>
  <c r="N33" i="80"/>
  <c r="C33" i="80"/>
  <c r="B33" i="80"/>
  <c r="A33" i="80"/>
  <c r="O33" i="80"/>
  <c r="P33" i="80"/>
  <c r="N34" i="80"/>
  <c r="C34" i="80"/>
  <c r="B34" i="80"/>
  <c r="A34" i="80"/>
  <c r="O34" i="80"/>
  <c r="P34" i="80"/>
  <c r="N35" i="80"/>
  <c r="C35" i="80"/>
  <c r="B35" i="80"/>
  <c r="A35" i="80"/>
  <c r="O35" i="80"/>
  <c r="P35" i="80"/>
  <c r="N36" i="80"/>
  <c r="C36" i="80"/>
  <c r="B36" i="80"/>
  <c r="A36" i="80"/>
  <c r="O36" i="80"/>
  <c r="P36" i="80"/>
  <c r="N37" i="80"/>
  <c r="C37" i="80"/>
  <c r="B37" i="80"/>
  <c r="A37" i="80"/>
  <c r="O37" i="80"/>
  <c r="P37" i="80"/>
  <c r="N38" i="80"/>
  <c r="C38" i="80"/>
  <c r="B38" i="80"/>
  <c r="A38" i="80"/>
  <c r="O38" i="80"/>
  <c r="P38" i="80"/>
  <c r="N39" i="80"/>
  <c r="C39" i="80"/>
  <c r="B39" i="80"/>
  <c r="A39" i="80"/>
  <c r="O39" i="80"/>
  <c r="P39" i="80"/>
  <c r="N40" i="80"/>
  <c r="C40" i="80"/>
  <c r="B40" i="80"/>
  <c r="A40" i="80"/>
  <c r="O40" i="80"/>
  <c r="P40" i="80"/>
  <c r="N41" i="80"/>
  <c r="C41" i="80"/>
  <c r="B41" i="80"/>
  <c r="A41" i="80"/>
  <c r="O41" i="80"/>
  <c r="P41" i="80"/>
  <c r="N42" i="80"/>
  <c r="C42" i="80"/>
  <c r="B42" i="80"/>
  <c r="A42" i="80"/>
  <c r="O42" i="80"/>
  <c r="P42" i="80"/>
  <c r="N43" i="80"/>
  <c r="C43" i="80"/>
  <c r="B43" i="80"/>
  <c r="A43" i="80"/>
  <c r="O43" i="80"/>
  <c r="P43" i="80"/>
  <c r="N44" i="80"/>
  <c r="C44" i="80"/>
  <c r="B44" i="80"/>
  <c r="A44" i="80"/>
  <c r="O44" i="80"/>
  <c r="P44" i="80"/>
  <c r="N15" i="79"/>
  <c r="D8" i="79"/>
  <c r="B8" i="79"/>
  <c r="C14" i="79"/>
  <c r="C15" i="79"/>
  <c r="B15" i="79"/>
  <c r="A15" i="79"/>
  <c r="O15" i="79"/>
  <c r="P15" i="79"/>
  <c r="N16" i="79"/>
  <c r="C16" i="79"/>
  <c r="B16" i="79"/>
  <c r="A16" i="79"/>
  <c r="O16" i="79"/>
  <c r="P16" i="79"/>
  <c r="N17" i="79"/>
  <c r="C17" i="79"/>
  <c r="B17" i="79"/>
  <c r="A17" i="79"/>
  <c r="O17" i="79"/>
  <c r="P17" i="79"/>
  <c r="N18" i="79"/>
  <c r="C18" i="79"/>
  <c r="B18" i="79"/>
  <c r="A18" i="79"/>
  <c r="O18" i="79"/>
  <c r="P18" i="79"/>
  <c r="N19" i="79"/>
  <c r="C19" i="79"/>
  <c r="B19" i="79"/>
  <c r="A19" i="79"/>
  <c r="O19" i="79"/>
  <c r="P19" i="79"/>
  <c r="N20" i="79"/>
  <c r="C20" i="79"/>
  <c r="B20" i="79"/>
  <c r="A20" i="79"/>
  <c r="O20" i="79"/>
  <c r="P20" i="79"/>
  <c r="N21" i="79"/>
  <c r="C21" i="79"/>
  <c r="B21" i="79"/>
  <c r="A21" i="79"/>
  <c r="O21" i="79"/>
  <c r="P21" i="79"/>
  <c r="N22" i="79"/>
  <c r="C22" i="79"/>
  <c r="B22" i="79"/>
  <c r="A22" i="79"/>
  <c r="O22" i="79"/>
  <c r="P22" i="79"/>
  <c r="N23" i="79"/>
  <c r="C23" i="79"/>
  <c r="B23" i="79"/>
  <c r="A23" i="79"/>
  <c r="O23" i="79"/>
  <c r="P23" i="79"/>
  <c r="N24" i="79"/>
  <c r="C24" i="79"/>
  <c r="B24" i="79"/>
  <c r="A24" i="79"/>
  <c r="O24" i="79"/>
  <c r="P24" i="79"/>
  <c r="N25" i="79"/>
  <c r="C25" i="79"/>
  <c r="B25" i="79"/>
  <c r="A25" i="79"/>
  <c r="O25" i="79"/>
  <c r="P25" i="79"/>
  <c r="N26" i="79"/>
  <c r="C26" i="79"/>
  <c r="B26" i="79"/>
  <c r="A26" i="79"/>
  <c r="O26" i="79"/>
  <c r="P26" i="79"/>
  <c r="N27" i="79"/>
  <c r="C27" i="79"/>
  <c r="B27" i="79"/>
  <c r="A27" i="79"/>
  <c r="O27" i="79"/>
  <c r="P27" i="79"/>
  <c r="N28" i="79"/>
  <c r="C28" i="79"/>
  <c r="B28" i="79"/>
  <c r="A28" i="79"/>
  <c r="O28" i="79"/>
  <c r="P28" i="79"/>
  <c r="N29" i="79"/>
  <c r="C29" i="79"/>
  <c r="B29" i="79"/>
  <c r="A29" i="79"/>
  <c r="O29" i="79"/>
  <c r="P29" i="79"/>
  <c r="N30" i="79"/>
  <c r="C30" i="79"/>
  <c r="B30" i="79"/>
  <c r="A30" i="79"/>
  <c r="O30" i="79"/>
  <c r="P30" i="79"/>
  <c r="N31" i="79"/>
  <c r="C31" i="79"/>
  <c r="B31" i="79"/>
  <c r="A31" i="79"/>
  <c r="O31" i="79"/>
  <c r="P31" i="79"/>
  <c r="N32" i="79"/>
  <c r="C32" i="79"/>
  <c r="B32" i="79"/>
  <c r="A32" i="79"/>
  <c r="O32" i="79"/>
  <c r="P32" i="79"/>
  <c r="N33" i="79"/>
  <c r="C33" i="79"/>
  <c r="B33" i="79"/>
  <c r="A33" i="79"/>
  <c r="O33" i="79"/>
  <c r="P33" i="79"/>
  <c r="N34" i="79"/>
  <c r="C34" i="79"/>
  <c r="B34" i="79"/>
  <c r="A34" i="79"/>
  <c r="O34" i="79"/>
  <c r="P34" i="79"/>
  <c r="N35" i="79"/>
  <c r="C35" i="79"/>
  <c r="B35" i="79"/>
  <c r="A35" i="79"/>
  <c r="O35" i="79"/>
  <c r="P35" i="79"/>
  <c r="N36" i="79"/>
  <c r="C36" i="79"/>
  <c r="B36" i="79"/>
  <c r="A36" i="79"/>
  <c r="O36" i="79"/>
  <c r="P36" i="79"/>
  <c r="N37" i="79"/>
  <c r="C37" i="79"/>
  <c r="B37" i="79"/>
  <c r="A37" i="79"/>
  <c r="O37" i="79"/>
  <c r="P37" i="79"/>
  <c r="N38" i="79"/>
  <c r="C38" i="79"/>
  <c r="B38" i="79"/>
  <c r="A38" i="79"/>
  <c r="O38" i="79"/>
  <c r="P38" i="79"/>
  <c r="N39" i="79"/>
  <c r="C39" i="79"/>
  <c r="B39" i="79"/>
  <c r="A39" i="79"/>
  <c r="O39" i="79"/>
  <c r="P39" i="79"/>
  <c r="N40" i="79"/>
  <c r="C40" i="79"/>
  <c r="B40" i="79"/>
  <c r="A40" i="79"/>
  <c r="O40" i="79"/>
  <c r="P40" i="79"/>
  <c r="N41" i="79"/>
  <c r="C41" i="79"/>
  <c r="B41" i="79"/>
  <c r="A41" i="79"/>
  <c r="O41" i="79"/>
  <c r="P41" i="79"/>
  <c r="N42" i="79"/>
  <c r="C42" i="79"/>
  <c r="B42" i="79"/>
  <c r="A42" i="79"/>
  <c r="O42" i="79"/>
  <c r="P42" i="79"/>
  <c r="N43" i="79"/>
  <c r="C43" i="79"/>
  <c r="B43" i="79"/>
  <c r="A43" i="79"/>
  <c r="O43" i="79"/>
  <c r="P43" i="79"/>
  <c r="N44" i="79"/>
  <c r="C44" i="79"/>
  <c r="B44" i="79"/>
  <c r="A44" i="79"/>
  <c r="O44" i="79"/>
  <c r="P44" i="79"/>
  <c r="N15" i="78"/>
  <c r="D8" i="78"/>
  <c r="B8" i="78"/>
  <c r="C14" i="78"/>
  <c r="C15" i="78"/>
  <c r="B15" i="78"/>
  <c r="A15" i="78"/>
  <c r="O15" i="78"/>
  <c r="P15" i="78"/>
  <c r="N16" i="78"/>
  <c r="C16" i="78"/>
  <c r="B16" i="78"/>
  <c r="A16" i="78"/>
  <c r="O16" i="78"/>
  <c r="P16" i="78"/>
  <c r="N17" i="78"/>
  <c r="C17" i="78"/>
  <c r="B17" i="78"/>
  <c r="A17" i="78"/>
  <c r="O17" i="78"/>
  <c r="P17" i="78"/>
  <c r="N18" i="78"/>
  <c r="C18" i="78"/>
  <c r="B18" i="78"/>
  <c r="A18" i="78"/>
  <c r="O18" i="78"/>
  <c r="P18" i="78"/>
  <c r="N19" i="78"/>
  <c r="C19" i="78"/>
  <c r="B19" i="78"/>
  <c r="A19" i="78"/>
  <c r="O19" i="78"/>
  <c r="P19" i="78"/>
  <c r="N20" i="78"/>
  <c r="C20" i="78"/>
  <c r="B20" i="78"/>
  <c r="A20" i="78"/>
  <c r="O20" i="78"/>
  <c r="P20" i="78"/>
  <c r="N21" i="78"/>
  <c r="C21" i="78"/>
  <c r="B21" i="78"/>
  <c r="A21" i="78"/>
  <c r="O21" i="78"/>
  <c r="P21" i="78"/>
  <c r="N22" i="78"/>
  <c r="C22" i="78"/>
  <c r="B22" i="78"/>
  <c r="A22" i="78"/>
  <c r="O22" i="78"/>
  <c r="P22" i="78"/>
  <c r="N23" i="78"/>
  <c r="C23" i="78"/>
  <c r="B23" i="78"/>
  <c r="A23" i="78"/>
  <c r="O23" i="78"/>
  <c r="P23" i="78"/>
  <c r="N24" i="78"/>
  <c r="C24" i="78"/>
  <c r="B24" i="78"/>
  <c r="A24" i="78"/>
  <c r="O24" i="78"/>
  <c r="P24" i="78"/>
  <c r="N25" i="78"/>
  <c r="C25" i="78"/>
  <c r="B25" i="78"/>
  <c r="A25" i="78"/>
  <c r="O25" i="78"/>
  <c r="P25" i="78"/>
  <c r="N26" i="78"/>
  <c r="C26" i="78"/>
  <c r="B26" i="78"/>
  <c r="A26" i="78"/>
  <c r="O26" i="78"/>
  <c r="P26" i="78"/>
  <c r="N27" i="78"/>
  <c r="C27" i="78"/>
  <c r="B27" i="78"/>
  <c r="A27" i="78"/>
  <c r="O27" i="78"/>
  <c r="P27" i="78"/>
  <c r="N28" i="78"/>
  <c r="C28" i="78"/>
  <c r="B28" i="78"/>
  <c r="A28" i="78"/>
  <c r="O28" i="78"/>
  <c r="P28" i="78"/>
  <c r="N29" i="78"/>
  <c r="C29" i="78"/>
  <c r="B29" i="78"/>
  <c r="A29" i="78"/>
  <c r="O29" i="78"/>
  <c r="P29" i="78"/>
  <c r="N30" i="78"/>
  <c r="C30" i="78"/>
  <c r="B30" i="78"/>
  <c r="A30" i="78"/>
  <c r="O30" i="78"/>
  <c r="P30" i="78"/>
  <c r="N31" i="78"/>
  <c r="C31" i="78"/>
  <c r="B31" i="78"/>
  <c r="A31" i="78"/>
  <c r="O31" i="78"/>
  <c r="P31" i="78"/>
  <c r="N32" i="78"/>
  <c r="C32" i="78"/>
  <c r="B32" i="78"/>
  <c r="A32" i="78"/>
  <c r="O32" i="78"/>
  <c r="P32" i="78"/>
  <c r="N33" i="78"/>
  <c r="C33" i="78"/>
  <c r="B33" i="78"/>
  <c r="A33" i="78"/>
  <c r="O33" i="78"/>
  <c r="P33" i="78"/>
  <c r="N34" i="78"/>
  <c r="C34" i="78"/>
  <c r="B34" i="78"/>
  <c r="A34" i="78"/>
  <c r="O34" i="78"/>
  <c r="P34" i="78"/>
  <c r="N35" i="78"/>
  <c r="C35" i="78"/>
  <c r="B35" i="78"/>
  <c r="A35" i="78"/>
  <c r="O35" i="78"/>
  <c r="P35" i="78"/>
  <c r="N36" i="78"/>
  <c r="C36" i="78"/>
  <c r="B36" i="78"/>
  <c r="A36" i="78"/>
  <c r="O36" i="78"/>
  <c r="P36" i="78"/>
  <c r="N37" i="78"/>
  <c r="C37" i="78"/>
  <c r="B37" i="78"/>
  <c r="A37" i="78"/>
  <c r="O37" i="78"/>
  <c r="P37" i="78"/>
  <c r="N38" i="78"/>
  <c r="C38" i="78"/>
  <c r="B38" i="78"/>
  <c r="A38" i="78"/>
  <c r="O38" i="78"/>
  <c r="P38" i="78"/>
  <c r="N39" i="78"/>
  <c r="C39" i="78"/>
  <c r="B39" i="78"/>
  <c r="A39" i="78"/>
  <c r="O39" i="78"/>
  <c r="P39" i="78"/>
  <c r="N40" i="78"/>
  <c r="C40" i="78"/>
  <c r="B40" i="78"/>
  <c r="A40" i="78"/>
  <c r="O40" i="78"/>
  <c r="P40" i="78"/>
  <c r="N41" i="78"/>
  <c r="C41" i="78"/>
  <c r="B41" i="78"/>
  <c r="A41" i="78"/>
  <c r="O41" i="78"/>
  <c r="P41" i="78"/>
  <c r="N42" i="78"/>
  <c r="C42" i="78"/>
  <c r="B42" i="78"/>
  <c r="A42" i="78"/>
  <c r="O42" i="78"/>
  <c r="P42" i="78"/>
  <c r="N43" i="78"/>
  <c r="C43" i="78"/>
  <c r="B43" i="78"/>
  <c r="A43" i="78"/>
  <c r="O43" i="78"/>
  <c r="P43" i="78"/>
  <c r="N44" i="78"/>
  <c r="C44" i="78"/>
  <c r="B44" i="78"/>
  <c r="A44" i="78"/>
  <c r="O44" i="78"/>
  <c r="P44" i="78"/>
  <c r="N15" i="77"/>
  <c r="D8" i="77"/>
  <c r="B8" i="77"/>
  <c r="C14" i="77"/>
  <c r="C15" i="77"/>
  <c r="B15" i="77"/>
  <c r="A15" i="77"/>
  <c r="O15" i="77"/>
  <c r="P15" i="77"/>
  <c r="N16" i="77"/>
  <c r="C16" i="77"/>
  <c r="B16" i="77"/>
  <c r="A16" i="77"/>
  <c r="O16" i="77"/>
  <c r="P16" i="77"/>
  <c r="N17" i="77"/>
  <c r="C17" i="77"/>
  <c r="B17" i="77"/>
  <c r="A17" i="77"/>
  <c r="O17" i="77"/>
  <c r="P17" i="77"/>
  <c r="N18" i="77"/>
  <c r="C18" i="77"/>
  <c r="B18" i="77"/>
  <c r="A18" i="77"/>
  <c r="O18" i="77"/>
  <c r="P18" i="77"/>
  <c r="N19" i="77"/>
  <c r="C19" i="77"/>
  <c r="B19" i="77"/>
  <c r="A19" i="77"/>
  <c r="O19" i="77"/>
  <c r="P19" i="77"/>
  <c r="N20" i="77"/>
  <c r="C20" i="77"/>
  <c r="B20" i="77"/>
  <c r="A20" i="77"/>
  <c r="O20" i="77"/>
  <c r="P20" i="77"/>
  <c r="N21" i="77"/>
  <c r="C21" i="77"/>
  <c r="B21" i="77"/>
  <c r="A21" i="77"/>
  <c r="O21" i="77"/>
  <c r="P21" i="77"/>
  <c r="N22" i="77"/>
  <c r="C22" i="77"/>
  <c r="B22" i="77"/>
  <c r="A22" i="77"/>
  <c r="O22" i="77"/>
  <c r="P22" i="77"/>
  <c r="N23" i="77"/>
  <c r="C23" i="77"/>
  <c r="B23" i="77"/>
  <c r="A23" i="77"/>
  <c r="O23" i="77"/>
  <c r="P23" i="77"/>
  <c r="N24" i="77"/>
  <c r="C24" i="77"/>
  <c r="B24" i="77"/>
  <c r="A24" i="77"/>
  <c r="O24" i="77"/>
  <c r="P24" i="77"/>
  <c r="N25" i="77"/>
  <c r="C25" i="77"/>
  <c r="B25" i="77"/>
  <c r="A25" i="77"/>
  <c r="O25" i="77"/>
  <c r="P25" i="77"/>
  <c r="N26" i="77"/>
  <c r="C26" i="77"/>
  <c r="B26" i="77"/>
  <c r="A26" i="77"/>
  <c r="O26" i="77"/>
  <c r="P26" i="77"/>
  <c r="N27" i="77"/>
  <c r="C27" i="77"/>
  <c r="B27" i="77"/>
  <c r="A27" i="77"/>
  <c r="O27" i="77"/>
  <c r="P27" i="77"/>
  <c r="N28" i="77"/>
  <c r="C28" i="77"/>
  <c r="B28" i="77"/>
  <c r="A28" i="77"/>
  <c r="O28" i="77"/>
  <c r="P28" i="77"/>
  <c r="N29" i="77"/>
  <c r="C29" i="77"/>
  <c r="B29" i="77"/>
  <c r="A29" i="77"/>
  <c r="O29" i="77"/>
  <c r="P29" i="77"/>
  <c r="N30" i="77"/>
  <c r="C30" i="77"/>
  <c r="B30" i="77"/>
  <c r="A30" i="77"/>
  <c r="O30" i="77"/>
  <c r="P30" i="77"/>
  <c r="N31" i="77"/>
  <c r="C31" i="77"/>
  <c r="B31" i="77"/>
  <c r="A31" i="77"/>
  <c r="O31" i="77"/>
  <c r="P31" i="77"/>
  <c r="N32" i="77"/>
  <c r="C32" i="77"/>
  <c r="B32" i="77"/>
  <c r="A32" i="77"/>
  <c r="O32" i="77"/>
  <c r="P32" i="77"/>
  <c r="N33" i="77"/>
  <c r="C33" i="77"/>
  <c r="B33" i="77"/>
  <c r="A33" i="77"/>
  <c r="O33" i="77"/>
  <c r="P33" i="77"/>
  <c r="N34" i="77"/>
  <c r="C34" i="77"/>
  <c r="B34" i="77"/>
  <c r="A34" i="77"/>
  <c r="O34" i="77"/>
  <c r="P34" i="77"/>
  <c r="N35" i="77"/>
  <c r="C35" i="77"/>
  <c r="B35" i="77"/>
  <c r="A35" i="77"/>
  <c r="O35" i="77"/>
  <c r="P35" i="77"/>
  <c r="N36" i="77"/>
  <c r="C36" i="77"/>
  <c r="B36" i="77"/>
  <c r="A36" i="77"/>
  <c r="O36" i="77"/>
  <c r="P36" i="77"/>
  <c r="N37" i="77"/>
  <c r="C37" i="77"/>
  <c r="B37" i="77"/>
  <c r="A37" i="77"/>
  <c r="O37" i="77"/>
  <c r="P37" i="77"/>
  <c r="N38" i="77"/>
  <c r="C38" i="77"/>
  <c r="B38" i="77"/>
  <c r="A38" i="77"/>
  <c r="O38" i="77"/>
  <c r="P38" i="77"/>
  <c r="N39" i="77"/>
  <c r="C39" i="77"/>
  <c r="B39" i="77"/>
  <c r="A39" i="77"/>
  <c r="O39" i="77"/>
  <c r="P39" i="77"/>
  <c r="N40" i="77"/>
  <c r="C40" i="77"/>
  <c r="B40" i="77"/>
  <c r="A40" i="77"/>
  <c r="O40" i="77"/>
  <c r="P40" i="77"/>
  <c r="N41" i="77"/>
  <c r="C41" i="77"/>
  <c r="B41" i="77"/>
  <c r="A41" i="77"/>
  <c r="O41" i="77"/>
  <c r="P41" i="77"/>
  <c r="N42" i="77"/>
  <c r="C42" i="77"/>
  <c r="B42" i="77"/>
  <c r="A42" i="77"/>
  <c r="O42" i="77"/>
  <c r="P42" i="77"/>
  <c r="N43" i="77"/>
  <c r="C43" i="77"/>
  <c r="B43" i="77"/>
  <c r="A43" i="77"/>
  <c r="O43" i="77"/>
  <c r="P43" i="77"/>
  <c r="N44" i="77"/>
  <c r="C44" i="77"/>
  <c r="B44" i="77"/>
  <c r="A44" i="77"/>
  <c r="O44" i="77"/>
  <c r="P44" i="77"/>
  <c r="N15" i="76"/>
  <c r="D8" i="76"/>
  <c r="B8" i="76"/>
  <c r="C14" i="76"/>
  <c r="C15" i="76"/>
  <c r="B15" i="76"/>
  <c r="A15" i="76"/>
  <c r="O15" i="76"/>
  <c r="P15" i="76"/>
  <c r="N16" i="76"/>
  <c r="C16" i="76"/>
  <c r="B16" i="76"/>
  <c r="A16" i="76"/>
  <c r="O16" i="76"/>
  <c r="P16" i="76"/>
  <c r="N17" i="76"/>
  <c r="C17" i="76"/>
  <c r="B17" i="76"/>
  <c r="A17" i="76"/>
  <c r="O17" i="76"/>
  <c r="P17" i="76"/>
  <c r="N18" i="76"/>
  <c r="C18" i="76"/>
  <c r="B18" i="76"/>
  <c r="A18" i="76"/>
  <c r="O18" i="76"/>
  <c r="P18" i="76"/>
  <c r="N19" i="76"/>
  <c r="C19" i="76"/>
  <c r="B19" i="76"/>
  <c r="A19" i="76"/>
  <c r="O19" i="76"/>
  <c r="P19" i="76"/>
  <c r="N20" i="76"/>
  <c r="C20" i="76"/>
  <c r="B20" i="76"/>
  <c r="A20" i="76"/>
  <c r="O20" i="76"/>
  <c r="P20" i="76"/>
  <c r="N21" i="76"/>
  <c r="C21" i="76"/>
  <c r="B21" i="76"/>
  <c r="A21" i="76"/>
  <c r="O21" i="76"/>
  <c r="P21" i="76"/>
  <c r="N22" i="76"/>
  <c r="C22" i="76"/>
  <c r="B22" i="76"/>
  <c r="A22" i="76"/>
  <c r="O22" i="76"/>
  <c r="P22" i="76"/>
  <c r="N23" i="76"/>
  <c r="C23" i="76"/>
  <c r="B23" i="76"/>
  <c r="A23" i="76"/>
  <c r="O23" i="76"/>
  <c r="P23" i="76"/>
  <c r="N24" i="76"/>
  <c r="C24" i="76"/>
  <c r="B24" i="76"/>
  <c r="A24" i="76"/>
  <c r="O24" i="76"/>
  <c r="P24" i="76"/>
  <c r="N25" i="76"/>
  <c r="C25" i="76"/>
  <c r="B25" i="76"/>
  <c r="A25" i="76"/>
  <c r="O25" i="76"/>
  <c r="P25" i="76"/>
  <c r="N26" i="76"/>
  <c r="C26" i="76"/>
  <c r="B26" i="76"/>
  <c r="A26" i="76"/>
  <c r="O26" i="76"/>
  <c r="P26" i="76"/>
  <c r="N27" i="76"/>
  <c r="C27" i="76"/>
  <c r="B27" i="76"/>
  <c r="A27" i="76"/>
  <c r="O27" i="76"/>
  <c r="P27" i="76"/>
  <c r="N28" i="76"/>
  <c r="C28" i="76"/>
  <c r="B28" i="76"/>
  <c r="A28" i="76"/>
  <c r="O28" i="76"/>
  <c r="P28" i="76"/>
  <c r="N29" i="76"/>
  <c r="C29" i="76"/>
  <c r="B29" i="76"/>
  <c r="A29" i="76"/>
  <c r="O29" i="76"/>
  <c r="P29" i="76"/>
  <c r="N30" i="76"/>
  <c r="C30" i="76"/>
  <c r="B30" i="76"/>
  <c r="A30" i="76"/>
  <c r="O30" i="76"/>
  <c r="P30" i="76"/>
  <c r="N31" i="76"/>
  <c r="C31" i="76"/>
  <c r="B31" i="76"/>
  <c r="A31" i="76"/>
  <c r="O31" i="76"/>
  <c r="P31" i="76"/>
  <c r="N32" i="76"/>
  <c r="C32" i="76"/>
  <c r="B32" i="76"/>
  <c r="A32" i="76"/>
  <c r="O32" i="76"/>
  <c r="P32" i="76"/>
  <c r="N33" i="76"/>
  <c r="C33" i="76"/>
  <c r="B33" i="76"/>
  <c r="A33" i="76"/>
  <c r="O33" i="76"/>
  <c r="P33" i="76"/>
  <c r="N34" i="76"/>
  <c r="C34" i="76"/>
  <c r="B34" i="76"/>
  <c r="A34" i="76"/>
  <c r="O34" i="76"/>
  <c r="P34" i="76"/>
  <c r="N35" i="76"/>
  <c r="C35" i="76"/>
  <c r="B35" i="76"/>
  <c r="A35" i="76"/>
  <c r="O35" i="76"/>
  <c r="P35" i="76"/>
  <c r="N36" i="76"/>
  <c r="C36" i="76"/>
  <c r="B36" i="76"/>
  <c r="A36" i="76"/>
  <c r="O36" i="76"/>
  <c r="P36" i="76"/>
  <c r="N37" i="76"/>
  <c r="C37" i="76"/>
  <c r="B37" i="76"/>
  <c r="A37" i="76"/>
  <c r="O37" i="76"/>
  <c r="P37" i="76"/>
  <c r="N38" i="76"/>
  <c r="C38" i="76"/>
  <c r="B38" i="76"/>
  <c r="A38" i="76"/>
  <c r="O38" i="76"/>
  <c r="P38" i="76"/>
  <c r="N39" i="76"/>
  <c r="C39" i="76"/>
  <c r="B39" i="76"/>
  <c r="A39" i="76"/>
  <c r="O39" i="76"/>
  <c r="P39" i="76"/>
  <c r="N40" i="76"/>
  <c r="C40" i="76"/>
  <c r="B40" i="76"/>
  <c r="A40" i="76"/>
  <c r="O40" i="76"/>
  <c r="P40" i="76"/>
  <c r="N41" i="76"/>
  <c r="C41" i="76"/>
  <c r="B41" i="76"/>
  <c r="A41" i="76"/>
  <c r="O41" i="76"/>
  <c r="P41" i="76"/>
  <c r="N42" i="76"/>
  <c r="C42" i="76"/>
  <c r="B42" i="76"/>
  <c r="A42" i="76"/>
  <c r="O42" i="76"/>
  <c r="P42" i="76"/>
  <c r="N43" i="76"/>
  <c r="C43" i="76"/>
  <c r="B43" i="76"/>
  <c r="A43" i="76"/>
  <c r="O43" i="76"/>
  <c r="P43" i="76"/>
  <c r="N44" i="76"/>
  <c r="C44" i="76"/>
  <c r="B44" i="76"/>
  <c r="A44" i="76"/>
  <c r="O44" i="76"/>
  <c r="P44" i="76"/>
  <c r="N14" i="87"/>
  <c r="B14" i="87"/>
  <c r="A14" i="87"/>
  <c r="O14" i="87"/>
  <c r="P14" i="87"/>
  <c r="N14" i="81"/>
  <c r="B14" i="81"/>
  <c r="A14" i="81"/>
  <c r="O14" i="81"/>
  <c r="P14" i="81"/>
  <c r="N14" i="80"/>
  <c r="B14" i="80"/>
  <c r="A14" i="80"/>
  <c r="O14" i="80"/>
  <c r="P14" i="80"/>
  <c r="N14" i="79"/>
  <c r="B14" i="79"/>
  <c r="A14" i="79"/>
  <c r="O14" i="79"/>
  <c r="P14" i="79"/>
  <c r="N14" i="78"/>
  <c r="B14" i="78"/>
  <c r="A14" i="78"/>
  <c r="O14" i="78"/>
  <c r="P14" i="78"/>
  <c r="N14" i="77"/>
  <c r="B14" i="77"/>
  <c r="A14" i="77"/>
  <c r="O14" i="77"/>
  <c r="P14" i="77"/>
  <c r="N14" i="76"/>
  <c r="B14" i="76"/>
  <c r="A14" i="76"/>
  <c r="O14" i="76"/>
  <c r="P14" i="76"/>
  <c r="N15" i="86"/>
  <c r="D8" i="86"/>
  <c r="B8" i="86"/>
  <c r="C14" i="86"/>
  <c r="C15" i="86"/>
  <c r="B15" i="86"/>
  <c r="A15" i="86"/>
  <c r="O15" i="86"/>
  <c r="P15" i="86"/>
  <c r="N16" i="86"/>
  <c r="C16" i="86"/>
  <c r="B16" i="86"/>
  <c r="A16" i="86"/>
  <c r="O16" i="86"/>
  <c r="P16" i="86"/>
  <c r="N17" i="86"/>
  <c r="C17" i="86"/>
  <c r="B17" i="86"/>
  <c r="A17" i="86"/>
  <c r="O17" i="86"/>
  <c r="P17" i="86"/>
  <c r="N18" i="86"/>
  <c r="C18" i="86"/>
  <c r="B18" i="86"/>
  <c r="A18" i="86"/>
  <c r="O18" i="86"/>
  <c r="P18" i="86"/>
  <c r="N19" i="86"/>
  <c r="C19" i="86"/>
  <c r="B19" i="86"/>
  <c r="A19" i="86"/>
  <c r="O19" i="86"/>
  <c r="P19" i="86"/>
  <c r="N20" i="86"/>
  <c r="C20" i="86"/>
  <c r="B20" i="86"/>
  <c r="A20" i="86"/>
  <c r="O20" i="86"/>
  <c r="P20" i="86"/>
  <c r="N21" i="86"/>
  <c r="C21" i="86"/>
  <c r="B21" i="86"/>
  <c r="A21" i="86"/>
  <c r="O21" i="86"/>
  <c r="P21" i="86"/>
  <c r="N22" i="86"/>
  <c r="C22" i="86"/>
  <c r="B22" i="86"/>
  <c r="A22" i="86"/>
  <c r="O22" i="86"/>
  <c r="P22" i="86"/>
  <c r="N23" i="86"/>
  <c r="C23" i="86"/>
  <c r="B23" i="86"/>
  <c r="A23" i="86"/>
  <c r="O23" i="86"/>
  <c r="P23" i="86"/>
  <c r="N24" i="86"/>
  <c r="C24" i="86"/>
  <c r="B24" i="86"/>
  <c r="A24" i="86"/>
  <c r="O24" i="86"/>
  <c r="P24" i="86"/>
  <c r="N25" i="86"/>
  <c r="C25" i="86"/>
  <c r="B25" i="86"/>
  <c r="A25" i="86"/>
  <c r="O25" i="86"/>
  <c r="P25" i="86"/>
  <c r="N26" i="86"/>
  <c r="C26" i="86"/>
  <c r="B26" i="86"/>
  <c r="A26" i="86"/>
  <c r="O26" i="86"/>
  <c r="P26" i="86"/>
  <c r="N27" i="86"/>
  <c r="C27" i="86"/>
  <c r="B27" i="86"/>
  <c r="A27" i="86"/>
  <c r="O27" i="86"/>
  <c r="P27" i="86"/>
  <c r="N28" i="86"/>
  <c r="C28" i="86"/>
  <c r="B28" i="86"/>
  <c r="A28" i="86"/>
  <c r="O28" i="86"/>
  <c r="P28" i="86"/>
  <c r="N29" i="86"/>
  <c r="C29" i="86"/>
  <c r="B29" i="86"/>
  <c r="A29" i="86"/>
  <c r="O29" i="86"/>
  <c r="P29" i="86"/>
  <c r="N30" i="86"/>
  <c r="C30" i="86"/>
  <c r="B30" i="86"/>
  <c r="A30" i="86"/>
  <c r="O30" i="86"/>
  <c r="P30" i="86"/>
  <c r="N31" i="86"/>
  <c r="C31" i="86"/>
  <c r="B31" i="86"/>
  <c r="A31" i="86"/>
  <c r="O31" i="86"/>
  <c r="P31" i="86"/>
  <c r="N32" i="86"/>
  <c r="C32" i="86"/>
  <c r="B32" i="86"/>
  <c r="A32" i="86"/>
  <c r="O32" i="86"/>
  <c r="P32" i="86"/>
  <c r="N33" i="86"/>
  <c r="C33" i="86"/>
  <c r="B33" i="86"/>
  <c r="A33" i="86"/>
  <c r="O33" i="86"/>
  <c r="P33" i="86"/>
  <c r="N34" i="86"/>
  <c r="C34" i="86"/>
  <c r="B34" i="86"/>
  <c r="A34" i="86"/>
  <c r="O34" i="86"/>
  <c r="P34" i="86"/>
  <c r="N35" i="86"/>
  <c r="C35" i="86"/>
  <c r="B35" i="86"/>
  <c r="A35" i="86"/>
  <c r="O35" i="86"/>
  <c r="P35" i="86"/>
  <c r="N36" i="86"/>
  <c r="C36" i="86"/>
  <c r="B36" i="86"/>
  <c r="A36" i="86"/>
  <c r="O36" i="86"/>
  <c r="P36" i="86"/>
  <c r="N37" i="86"/>
  <c r="C37" i="86"/>
  <c r="B37" i="86"/>
  <c r="A37" i="86"/>
  <c r="O37" i="86"/>
  <c r="P37" i="86"/>
  <c r="N38" i="86"/>
  <c r="C38" i="86"/>
  <c r="B38" i="86"/>
  <c r="A38" i="86"/>
  <c r="O38" i="86"/>
  <c r="P38" i="86"/>
  <c r="N39" i="86"/>
  <c r="C39" i="86"/>
  <c r="B39" i="86"/>
  <c r="A39" i="86"/>
  <c r="O39" i="86"/>
  <c r="P39" i="86"/>
  <c r="N40" i="86"/>
  <c r="C40" i="86"/>
  <c r="B40" i="86"/>
  <c r="A40" i="86"/>
  <c r="O40" i="86"/>
  <c r="P40" i="86"/>
  <c r="N41" i="86"/>
  <c r="C41" i="86"/>
  <c r="B41" i="86"/>
  <c r="A41" i="86"/>
  <c r="O41" i="86"/>
  <c r="P41" i="86"/>
  <c r="N42" i="86"/>
  <c r="C42" i="86"/>
  <c r="B42" i="86"/>
  <c r="A42" i="86"/>
  <c r="O42" i="86"/>
  <c r="P42" i="86"/>
  <c r="N43" i="86"/>
  <c r="C43" i="86"/>
  <c r="B43" i="86"/>
  <c r="A43" i="86"/>
  <c r="O43" i="86"/>
  <c r="P43" i="86"/>
  <c r="N44" i="86"/>
  <c r="C44" i="86"/>
  <c r="B44" i="86"/>
  <c r="A44" i="86"/>
  <c r="O44" i="86"/>
  <c r="P44" i="86"/>
  <c r="N14" i="86"/>
  <c r="B14" i="86"/>
  <c r="A14" i="86"/>
  <c r="O14" i="86"/>
  <c r="P14" i="86"/>
  <c r="AF14" i="75"/>
  <c r="D13" i="75"/>
  <c r="AG14" i="75"/>
  <c r="AF15" i="75"/>
  <c r="AG15" i="75"/>
  <c r="AF16" i="75"/>
  <c r="AG16" i="75"/>
  <c r="AF17" i="75"/>
  <c r="AG17" i="75"/>
  <c r="AF18" i="75"/>
  <c r="AG18" i="75"/>
  <c r="AF19" i="75"/>
  <c r="AG19" i="75"/>
  <c r="AF20" i="75"/>
  <c r="AG20" i="75"/>
  <c r="AF21" i="75"/>
  <c r="AG21" i="75"/>
  <c r="AF22" i="75"/>
  <c r="AG22" i="75"/>
  <c r="AF23" i="75"/>
  <c r="AG23" i="75"/>
  <c r="AF24" i="75"/>
  <c r="AG24" i="75"/>
  <c r="AF25" i="75"/>
  <c r="AG25" i="75"/>
  <c r="AF26" i="75"/>
  <c r="AG26" i="75"/>
  <c r="AF27" i="75"/>
  <c r="AG27" i="75"/>
  <c r="AF28" i="75"/>
  <c r="AG28" i="75"/>
  <c r="AF29" i="75"/>
  <c r="AG29" i="75"/>
  <c r="AF30" i="75"/>
  <c r="AG30" i="75"/>
  <c r="AF31" i="75"/>
  <c r="AG31" i="75"/>
  <c r="AF32" i="75"/>
  <c r="AG32" i="75"/>
  <c r="AF33" i="75"/>
  <c r="AG33" i="75"/>
  <c r="AF34" i="75"/>
  <c r="AG34" i="75"/>
  <c r="AF35" i="75"/>
  <c r="AG35" i="75"/>
  <c r="AF36" i="75"/>
  <c r="AG36" i="75"/>
  <c r="AF37" i="75"/>
  <c r="AG37" i="75"/>
  <c r="AF38" i="75"/>
  <c r="AG38" i="75"/>
  <c r="AF39" i="75"/>
  <c r="AG39" i="75"/>
  <c r="AF40" i="75"/>
  <c r="AG40" i="75"/>
  <c r="AF41" i="75"/>
  <c r="AG41" i="75"/>
  <c r="AF42" i="75"/>
  <c r="AG42" i="75"/>
  <c r="AF43" i="75"/>
  <c r="AG43" i="75"/>
  <c r="K52" i="75"/>
  <c r="AF15" i="82"/>
  <c r="AG15" i="82"/>
  <c r="AF16" i="82"/>
  <c r="AG16" i="82"/>
  <c r="AF17" i="82"/>
  <c r="AG17" i="82"/>
  <c r="AF18" i="82"/>
  <c r="AG18" i="82"/>
  <c r="AF19" i="82"/>
  <c r="AG19" i="82"/>
  <c r="AF20" i="82"/>
  <c r="AG20" i="82"/>
  <c r="AF21" i="82"/>
  <c r="AG21" i="82"/>
  <c r="AF22" i="82"/>
  <c r="AG22" i="82"/>
  <c r="AF23" i="82"/>
  <c r="AG23" i="82"/>
  <c r="AF24" i="82"/>
  <c r="AG24" i="82"/>
  <c r="AF25" i="82"/>
  <c r="AG25" i="82"/>
  <c r="AF26" i="82"/>
  <c r="AG26" i="82"/>
  <c r="AF27" i="82"/>
  <c r="AG27" i="82"/>
  <c r="AF28" i="82"/>
  <c r="AG28" i="82"/>
  <c r="AF29" i="82"/>
  <c r="AG29" i="82"/>
  <c r="AF30" i="82"/>
  <c r="AG30" i="82"/>
  <c r="AF31" i="82"/>
  <c r="AG31" i="82"/>
  <c r="AF32" i="82"/>
  <c r="AG32" i="82"/>
  <c r="AF33" i="82"/>
  <c r="AG33" i="82"/>
  <c r="AF34" i="82"/>
  <c r="AG34" i="82"/>
  <c r="AF35" i="82"/>
  <c r="AG35" i="82"/>
  <c r="AF36" i="82"/>
  <c r="AG36" i="82"/>
  <c r="AF37" i="82"/>
  <c r="AG37" i="82"/>
  <c r="AF38" i="82"/>
  <c r="AG38" i="82"/>
  <c r="AF39" i="82"/>
  <c r="AG39" i="82"/>
  <c r="AF40" i="82"/>
  <c r="AG40" i="82"/>
  <c r="AF41" i="82"/>
  <c r="AG41" i="82"/>
  <c r="AF42" i="82"/>
  <c r="AG42" i="82"/>
  <c r="AF43" i="82"/>
  <c r="AG43" i="82"/>
  <c r="K52" i="82"/>
  <c r="D58" i="84"/>
  <c r="B58" i="84"/>
  <c r="D58" i="83"/>
  <c r="B58" i="83"/>
  <c r="D58" i="82"/>
  <c r="B58" i="82"/>
  <c r="D58" i="75"/>
  <c r="B58" i="75"/>
  <c r="B58" i="73"/>
  <c r="D58" i="87"/>
  <c r="B58" i="87"/>
  <c r="D58" i="81"/>
  <c r="B58" i="81"/>
  <c r="D58" i="80"/>
  <c r="B58" i="80"/>
  <c r="D58" i="79"/>
  <c r="B58" i="79"/>
  <c r="D58" i="78"/>
  <c r="B58" i="78"/>
  <c r="D58" i="77"/>
  <c r="B58" i="77"/>
  <c r="D58" i="76"/>
  <c r="B58" i="76"/>
  <c r="B58" i="86"/>
  <c r="C13" i="87"/>
  <c r="A13" i="87"/>
  <c r="C13" i="81"/>
  <c r="A13" i="81"/>
  <c r="C13" i="84"/>
  <c r="A13" i="84"/>
  <c r="C13" i="80"/>
  <c r="A13" i="80"/>
  <c r="C13" i="83"/>
  <c r="A13" i="83"/>
  <c r="C13" i="79"/>
  <c r="A13" i="79"/>
  <c r="C13" i="78"/>
  <c r="A13" i="78"/>
  <c r="C13" i="82"/>
  <c r="A13" i="82"/>
  <c r="C13" i="77"/>
  <c r="A13" i="77"/>
  <c r="C13" i="75"/>
  <c r="A13" i="75"/>
  <c r="C13" i="76"/>
  <c r="A13" i="76"/>
  <c r="C13" i="73"/>
  <c r="A13" i="73"/>
  <c r="C13" i="86"/>
  <c r="A13" i="86"/>
  <c r="E15" i="89"/>
  <c r="K56" i="86"/>
  <c r="D54" i="86"/>
  <c r="P63" i="86"/>
  <c r="Q45" i="73"/>
  <c r="E53" i="73"/>
  <c r="E16" i="89"/>
  <c r="K56" i="73"/>
  <c r="D54" i="73"/>
  <c r="Q14" i="73"/>
  <c r="Q15" i="73"/>
  <c r="Q16" i="73"/>
  <c r="Q17" i="73"/>
  <c r="Q18" i="73"/>
  <c r="AH14" i="73"/>
  <c r="AH15" i="73"/>
  <c r="AH16" i="73"/>
  <c r="AH17" i="73"/>
  <c r="AH18" i="73"/>
  <c r="R14" i="73"/>
  <c r="R15" i="73"/>
  <c r="R16" i="73"/>
  <c r="R17" i="73"/>
  <c r="R18" i="73"/>
  <c r="K57" i="73"/>
  <c r="D53" i="73"/>
  <c r="AA51" i="73"/>
  <c r="AB14" i="73"/>
  <c r="AB15" i="73"/>
  <c r="AB16" i="73"/>
  <c r="AB17" i="73"/>
  <c r="AB18" i="73"/>
  <c r="AB51" i="73"/>
  <c r="AC14" i="73"/>
  <c r="AC15" i="73"/>
  <c r="AC16" i="73"/>
  <c r="AC17" i="73"/>
  <c r="AC18" i="73"/>
  <c r="AC51" i="73"/>
  <c r="AD14" i="73"/>
  <c r="AD15" i="73"/>
  <c r="AD16" i="73"/>
  <c r="AD17" i="73"/>
  <c r="AD18" i="73"/>
  <c r="AD51" i="73"/>
  <c r="L71" i="73"/>
  <c r="U15" i="73" a="1"/>
  <c r="U15" i="73"/>
  <c r="U16" i="73" a="1"/>
  <c r="U16" i="73"/>
  <c r="U17" i="73" a="1"/>
  <c r="U18" i="73" a="1"/>
  <c r="U17" i="73"/>
  <c r="U18" i="73"/>
  <c r="U51" i="73"/>
  <c r="V15" i="73" a="1"/>
  <c r="V15" i="73"/>
  <c r="V16" i="73" a="1"/>
  <c r="V16" i="73"/>
  <c r="V17" i="73" a="1"/>
  <c r="V18" i="73" a="1"/>
  <c r="V17" i="73"/>
  <c r="V18" i="73"/>
  <c r="V51" i="73"/>
  <c r="W15" i="73" a="1"/>
  <c r="W15" i="73"/>
  <c r="W16" i="73" a="1"/>
  <c r="W16" i="73"/>
  <c r="W17" i="73" a="1"/>
  <c r="W18" i="73" a="1"/>
  <c r="W19" i="73" a="1"/>
  <c r="W17" i="73"/>
  <c r="W18" i="73"/>
  <c r="W19" i="73"/>
  <c r="W51" i="73"/>
  <c r="AH51" i="73"/>
  <c r="L67" i="73"/>
  <c r="K55" i="73"/>
  <c r="P63" i="73"/>
  <c r="N6" i="76"/>
  <c r="E17" i="89"/>
  <c r="K56" i="76"/>
  <c r="D54" i="76"/>
  <c r="P63" i="76"/>
  <c r="N6" i="75"/>
  <c r="E18" i="89"/>
  <c r="K56" i="75"/>
  <c r="D54" i="75"/>
  <c r="P63" i="75"/>
  <c r="N6" i="77"/>
  <c r="E19" i="89"/>
  <c r="K56" i="77"/>
  <c r="D54" i="77"/>
  <c r="P63" i="77"/>
  <c r="N6" i="82"/>
  <c r="E20" i="89"/>
  <c r="K56" i="82"/>
  <c r="D54" i="82"/>
  <c r="P63" i="82"/>
  <c r="N6" i="78"/>
  <c r="E21" i="89"/>
  <c r="K56" i="78"/>
  <c r="D54" i="78"/>
  <c r="P63" i="78"/>
  <c r="N6" i="79"/>
  <c r="E22" i="89"/>
  <c r="K56" i="79"/>
  <c r="D54" i="79"/>
  <c r="P63" i="79"/>
  <c r="N6" i="83"/>
  <c r="E23" i="89"/>
  <c r="K56" i="83"/>
  <c r="D54" i="83"/>
  <c r="P63" i="83"/>
  <c r="N6" i="80"/>
  <c r="E24" i="89"/>
  <c r="K56" i="80"/>
  <c r="D54" i="80"/>
  <c r="P63" i="80"/>
  <c r="N6" i="84"/>
  <c r="E25" i="89"/>
  <c r="K56" i="84"/>
  <c r="D54" i="84"/>
  <c r="P63" i="84"/>
  <c r="N6" i="81"/>
  <c r="E26" i="89"/>
  <c r="K56" i="81"/>
  <c r="D54" i="81"/>
  <c r="P63" i="81"/>
  <c r="N6" i="87"/>
  <c r="E27" i="89"/>
  <c r="K56" i="87"/>
  <c r="AA52" i="73"/>
  <c r="AB52" i="73"/>
  <c r="L70" i="73"/>
  <c r="U52" i="73"/>
  <c r="V52" i="73"/>
  <c r="A102" i="3"/>
  <c r="A103" i="3"/>
  <c r="A104" i="3"/>
  <c r="A105" i="3"/>
  <c r="B100" i="3"/>
  <c r="C100" i="3"/>
  <c r="D100" i="3"/>
  <c r="E100" i="3"/>
  <c r="I100" i="3"/>
  <c r="C101" i="3"/>
  <c r="D101" i="3"/>
  <c r="B102" i="3"/>
  <c r="C102" i="3"/>
  <c r="D102" i="3"/>
  <c r="E102" i="3"/>
  <c r="I102" i="3"/>
  <c r="F102" i="3"/>
  <c r="B103" i="3"/>
  <c r="C103" i="3"/>
  <c r="D103" i="3"/>
  <c r="E103" i="3"/>
  <c r="I103" i="3"/>
  <c r="F103" i="3"/>
  <c r="B104" i="3"/>
  <c r="C104" i="3"/>
  <c r="D104" i="3"/>
  <c r="E104" i="3"/>
  <c r="I104" i="3"/>
  <c r="F104" i="3"/>
  <c r="B105" i="3"/>
  <c r="C105" i="3"/>
  <c r="D105" i="3"/>
  <c r="E105" i="3"/>
  <c r="I105" i="3"/>
  <c r="F105" i="3"/>
  <c r="A106" i="3"/>
  <c r="B106" i="3"/>
  <c r="C106" i="3"/>
  <c r="D106" i="3"/>
  <c r="E106" i="3"/>
  <c r="I106" i="3"/>
  <c r="F106" i="3"/>
  <c r="A107" i="3"/>
  <c r="B107" i="3"/>
  <c r="C107" i="3"/>
  <c r="D107" i="3"/>
  <c r="E107" i="3"/>
  <c r="I107" i="3"/>
  <c r="F107" i="3"/>
  <c r="A108" i="3"/>
  <c r="B108" i="3"/>
  <c r="C108" i="3"/>
  <c r="D108" i="3"/>
  <c r="E108" i="3"/>
  <c r="I108" i="3"/>
  <c r="F108" i="3"/>
  <c r="A109" i="3"/>
  <c r="B109" i="3"/>
  <c r="C109" i="3"/>
  <c r="D109" i="3"/>
  <c r="E109" i="3"/>
  <c r="I109" i="3"/>
  <c r="F109" i="3"/>
  <c r="A110" i="3"/>
  <c r="B110" i="3"/>
  <c r="C110" i="3"/>
  <c r="D110" i="3"/>
  <c r="E110" i="3"/>
  <c r="I110" i="3"/>
  <c r="F110" i="3"/>
  <c r="A111" i="3"/>
  <c r="B111" i="3"/>
  <c r="C111" i="3"/>
  <c r="D111" i="3"/>
  <c r="E111" i="3"/>
  <c r="I111" i="3"/>
  <c r="F111" i="3"/>
  <c r="A112" i="3"/>
  <c r="B112" i="3"/>
  <c r="C112" i="3"/>
  <c r="D112" i="3"/>
  <c r="E112" i="3"/>
  <c r="I112" i="3"/>
  <c r="F112" i="3"/>
  <c r="D55" i="84"/>
  <c r="D56" i="84"/>
  <c r="D57" i="84"/>
  <c r="L74" i="84"/>
  <c r="H8" i="84"/>
  <c r="E13" i="84"/>
  <c r="AB14" i="84"/>
  <c r="AB15" i="84"/>
  <c r="AB16" i="84"/>
  <c r="AB17" i="84"/>
  <c r="AB18" i="84"/>
  <c r="AB19" i="84"/>
  <c r="AB20" i="84"/>
  <c r="AB21" i="84"/>
  <c r="AB22" i="84"/>
  <c r="AB23" i="84"/>
  <c r="AB24" i="84"/>
  <c r="AB25" i="84"/>
  <c r="AB26" i="84"/>
  <c r="AB27" i="84"/>
  <c r="AB28" i="84"/>
  <c r="AB29" i="84"/>
  <c r="AB30" i="84"/>
  <c r="AB31" i="84"/>
  <c r="AB32" i="84"/>
  <c r="AB33" i="84"/>
  <c r="AB34" i="84"/>
  <c r="AB35" i="84"/>
  <c r="AB36" i="84"/>
  <c r="AB37" i="84"/>
  <c r="AB38" i="84"/>
  <c r="AB39" i="84"/>
  <c r="AB40" i="84"/>
  <c r="AB41" i="84"/>
  <c r="AB42" i="84"/>
  <c r="AB43" i="84"/>
  <c r="D13" i="84"/>
  <c r="M13" i="84"/>
  <c r="L13" i="84"/>
  <c r="L14" i="84"/>
  <c r="K14" i="84"/>
  <c r="T14" i="84"/>
  <c r="U15" i="84" a="1"/>
  <c r="U15" i="84"/>
  <c r="L15" i="84"/>
  <c r="K15" i="84"/>
  <c r="T15" i="84"/>
  <c r="U16" i="84" a="1"/>
  <c r="U16" i="84"/>
  <c r="L16" i="84"/>
  <c r="K16" i="84"/>
  <c r="T16" i="84"/>
  <c r="U17" i="84" a="1"/>
  <c r="L17" i="84"/>
  <c r="K17" i="84"/>
  <c r="T17" i="84"/>
  <c r="U18" i="84" a="1"/>
  <c r="L18" i="84"/>
  <c r="K18" i="84"/>
  <c r="T18" i="84"/>
  <c r="U19" i="84" a="1"/>
  <c r="L19" i="84"/>
  <c r="K19" i="84"/>
  <c r="T19" i="84"/>
  <c r="U20" i="84" a="1"/>
  <c r="L20" i="84"/>
  <c r="K20" i="84"/>
  <c r="T20" i="84"/>
  <c r="U21" i="84" a="1"/>
  <c r="L21" i="84"/>
  <c r="K21" i="84"/>
  <c r="T21" i="84"/>
  <c r="U22" i="84" a="1"/>
  <c r="L22" i="84"/>
  <c r="K22" i="84"/>
  <c r="T22" i="84"/>
  <c r="U23" i="84" a="1"/>
  <c r="L23" i="84"/>
  <c r="K23" i="84"/>
  <c r="T23" i="84"/>
  <c r="U24" i="84" a="1"/>
  <c r="L24" i="84"/>
  <c r="K24" i="84"/>
  <c r="T24" i="84"/>
  <c r="U25" i="84" a="1"/>
  <c r="L25" i="84"/>
  <c r="K25" i="84"/>
  <c r="T25" i="84"/>
  <c r="U26" i="84" a="1"/>
  <c r="L26" i="84"/>
  <c r="K26" i="84"/>
  <c r="T26" i="84"/>
  <c r="U27" i="84" a="1"/>
  <c r="L27" i="84"/>
  <c r="K27" i="84"/>
  <c r="T27" i="84"/>
  <c r="U28" i="84" a="1"/>
  <c r="L28" i="84"/>
  <c r="K28" i="84"/>
  <c r="T28" i="84"/>
  <c r="U29" i="84" a="1"/>
  <c r="L29" i="84"/>
  <c r="K29" i="84"/>
  <c r="T29" i="84"/>
  <c r="U30" i="84" a="1"/>
  <c r="L30" i="84"/>
  <c r="K30" i="84"/>
  <c r="T30" i="84"/>
  <c r="U31" i="84" a="1"/>
  <c r="L31" i="84"/>
  <c r="K31" i="84"/>
  <c r="T31" i="84"/>
  <c r="U32" i="84" a="1"/>
  <c r="L32" i="84"/>
  <c r="K32" i="84"/>
  <c r="T32" i="84"/>
  <c r="U33" i="84" a="1"/>
  <c r="L33" i="84"/>
  <c r="K33" i="84"/>
  <c r="T33" i="84"/>
  <c r="U34" i="84" a="1"/>
  <c r="L34" i="84"/>
  <c r="K34" i="84"/>
  <c r="T34" i="84"/>
  <c r="U35" i="84" a="1"/>
  <c r="L35" i="84"/>
  <c r="K35" i="84"/>
  <c r="T35" i="84"/>
  <c r="U36" i="84" a="1"/>
  <c r="L36" i="84"/>
  <c r="K36" i="84"/>
  <c r="T36" i="84"/>
  <c r="U37" i="84" a="1"/>
  <c r="L37" i="84"/>
  <c r="K37" i="84"/>
  <c r="T37" i="84"/>
  <c r="U38" i="84" a="1"/>
  <c r="L38" i="84"/>
  <c r="K38" i="84"/>
  <c r="T38" i="84"/>
  <c r="U39" i="84" a="1"/>
  <c r="L39" i="84"/>
  <c r="K39" i="84"/>
  <c r="T39" i="84"/>
  <c r="U40" i="84" a="1"/>
  <c r="L40" i="84"/>
  <c r="K40" i="84"/>
  <c r="T40" i="84"/>
  <c r="U41" i="84" a="1"/>
  <c r="L41" i="84"/>
  <c r="K41" i="84"/>
  <c r="T41" i="84"/>
  <c r="U42" i="84" a="1"/>
  <c r="L42" i="84"/>
  <c r="K42" i="84"/>
  <c r="T42" i="84"/>
  <c r="U43" i="84" a="1"/>
  <c r="U17" i="84"/>
  <c r="U18" i="84"/>
  <c r="U19" i="84"/>
  <c r="U20" i="84"/>
  <c r="U21" i="84"/>
  <c r="U22" i="84"/>
  <c r="U23" i="84"/>
  <c r="U24" i="84"/>
  <c r="U25" i="84"/>
  <c r="U26" i="84"/>
  <c r="U27" i="84"/>
  <c r="U28" i="84"/>
  <c r="U29" i="84"/>
  <c r="U30" i="84"/>
  <c r="U31" i="84"/>
  <c r="U32" i="84"/>
  <c r="U33" i="84"/>
  <c r="U34" i="84"/>
  <c r="U35" i="84"/>
  <c r="U36" i="84"/>
  <c r="U37" i="84"/>
  <c r="U38" i="84"/>
  <c r="U39" i="84"/>
  <c r="U40" i="84"/>
  <c r="U41" i="84"/>
  <c r="U42" i="84"/>
  <c r="U43" i="84"/>
  <c r="U51" i="84"/>
  <c r="V15" i="84" a="1"/>
  <c r="V15" i="84"/>
  <c r="V16" i="84" a="1"/>
  <c r="V16" i="84"/>
  <c r="V17" i="84" a="1"/>
  <c r="V18" i="84" a="1"/>
  <c r="V19" i="84" a="1"/>
  <c r="V20" i="84" a="1"/>
  <c r="V21" i="84" a="1"/>
  <c r="V22" i="84" a="1"/>
  <c r="V23" i="84" a="1"/>
  <c r="V24" i="84" a="1"/>
  <c r="V25" i="84" a="1"/>
  <c r="V26" i="84" a="1"/>
  <c r="V27" i="84" a="1"/>
  <c r="V28" i="84" a="1"/>
  <c r="V29" i="84" a="1"/>
  <c r="V30" i="84" a="1"/>
  <c r="V31" i="84" a="1"/>
  <c r="V32" i="84" a="1"/>
  <c r="V33" i="84" a="1"/>
  <c r="V34" i="84" a="1"/>
  <c r="V35" i="84" a="1"/>
  <c r="V36" i="84" a="1"/>
  <c r="V37" i="84" a="1"/>
  <c r="V38" i="84" a="1"/>
  <c r="V39" i="84" a="1"/>
  <c r="V40" i="84" a="1"/>
  <c r="V41" i="84" a="1"/>
  <c r="V42" i="84" a="1"/>
  <c r="L43" i="84"/>
  <c r="K43" i="84"/>
  <c r="T43" i="84"/>
  <c r="V43" i="84" a="1"/>
  <c r="V17" i="84"/>
  <c r="V18" i="84"/>
  <c r="V19" i="84"/>
  <c r="V20" i="84"/>
  <c r="V21" i="84"/>
  <c r="V22" i="84"/>
  <c r="V23" i="84"/>
  <c r="V24" i="84"/>
  <c r="V25" i="84"/>
  <c r="V26" i="84"/>
  <c r="V27" i="84"/>
  <c r="V28" i="84"/>
  <c r="V29" i="84"/>
  <c r="V30" i="84"/>
  <c r="V31" i="84"/>
  <c r="V32" i="84"/>
  <c r="V33" i="84"/>
  <c r="V34" i="84"/>
  <c r="V35" i="84"/>
  <c r="V36" i="84"/>
  <c r="V37" i="84"/>
  <c r="V38" i="84"/>
  <c r="V39" i="84"/>
  <c r="V40" i="84"/>
  <c r="V41" i="84"/>
  <c r="V42" i="84"/>
  <c r="V43" i="84"/>
  <c r="V51" i="84"/>
  <c r="W15" i="84" a="1"/>
  <c r="W15" i="84"/>
  <c r="W16" i="84" a="1"/>
  <c r="W16" i="84"/>
  <c r="W17" i="84" a="1"/>
  <c r="W18" i="84" a="1"/>
  <c r="W19" i="84" a="1"/>
  <c r="W20" i="84" a="1"/>
  <c r="W21" i="84" a="1"/>
  <c r="W22" i="84" a="1"/>
  <c r="W23" i="84" a="1"/>
  <c r="W24" i="84" a="1"/>
  <c r="W25" i="84" a="1"/>
  <c r="W26" i="84" a="1"/>
  <c r="W27" i="84" a="1"/>
  <c r="W28" i="84" a="1"/>
  <c r="W29" i="84" a="1"/>
  <c r="W30" i="84" a="1"/>
  <c r="W31" i="84" a="1"/>
  <c r="W32" i="84" a="1"/>
  <c r="W33" i="84" a="1"/>
  <c r="W34" i="84" a="1"/>
  <c r="W35" i="84" a="1"/>
  <c r="W36" i="84" a="1"/>
  <c r="W37" i="84" a="1"/>
  <c r="W38" i="84" a="1"/>
  <c r="W39" i="84" a="1"/>
  <c r="W40" i="84" a="1"/>
  <c r="W41" i="84" a="1"/>
  <c r="W42" i="84" a="1"/>
  <c r="W43" i="84" a="1"/>
  <c r="W17" i="84"/>
  <c r="W18" i="84"/>
  <c r="W19" i="84"/>
  <c r="W20" i="84"/>
  <c r="W21" i="84"/>
  <c r="W22" i="84"/>
  <c r="W23" i="84"/>
  <c r="W24" i="84"/>
  <c r="W25" i="84"/>
  <c r="W26" i="84"/>
  <c r="W27" i="84"/>
  <c r="W28" i="84"/>
  <c r="W29" i="84"/>
  <c r="W30" i="84"/>
  <c r="W31" i="84"/>
  <c r="W32" i="84"/>
  <c r="W33" i="84"/>
  <c r="W34" i="84"/>
  <c r="W35" i="84"/>
  <c r="W36" i="84"/>
  <c r="W37" i="84"/>
  <c r="W38" i="84"/>
  <c r="W39" i="84"/>
  <c r="W40" i="84"/>
  <c r="W41" i="84"/>
  <c r="W42" i="84"/>
  <c r="W43" i="84"/>
  <c r="W51" i="84"/>
  <c r="U52" i="84"/>
  <c r="V52" i="84"/>
  <c r="AH14" i="84"/>
  <c r="AH15" i="84"/>
  <c r="AH16" i="84"/>
  <c r="AH17" i="84"/>
  <c r="AH18" i="84"/>
  <c r="AH19" i="84"/>
  <c r="AH20" i="84"/>
  <c r="AH21" i="84"/>
  <c r="AH22" i="84"/>
  <c r="AH23" i="84"/>
  <c r="AH24" i="84"/>
  <c r="AH25" i="84"/>
  <c r="AH26" i="84"/>
  <c r="AH27" i="84"/>
  <c r="AH28" i="84"/>
  <c r="AH29" i="84"/>
  <c r="AH30" i="84"/>
  <c r="AH31" i="84"/>
  <c r="AH32" i="84"/>
  <c r="AH33" i="84"/>
  <c r="AH34" i="84"/>
  <c r="AH35" i="84"/>
  <c r="AH36" i="84"/>
  <c r="AH37" i="84"/>
  <c r="AH38" i="84"/>
  <c r="AH39" i="84"/>
  <c r="AH40" i="84"/>
  <c r="AH41" i="84"/>
  <c r="AH42" i="84"/>
  <c r="AH43" i="84"/>
  <c r="L63" i="84"/>
  <c r="L62" i="84"/>
  <c r="AF15" i="84"/>
  <c r="AG15" i="84"/>
  <c r="AF16" i="84"/>
  <c r="AG16" i="84"/>
  <c r="AF17" i="84"/>
  <c r="AG17" i="84"/>
  <c r="AF18" i="84"/>
  <c r="AG18" i="84"/>
  <c r="AF19" i="84"/>
  <c r="AG19" i="84"/>
  <c r="AF20" i="84"/>
  <c r="AG20" i="84"/>
  <c r="AF21" i="84"/>
  <c r="AG21" i="84"/>
  <c r="AF22" i="84"/>
  <c r="AG22" i="84"/>
  <c r="AF23" i="84"/>
  <c r="AG23" i="84"/>
  <c r="AF24" i="84"/>
  <c r="AG24" i="84"/>
  <c r="AF25" i="84"/>
  <c r="AG25" i="84"/>
  <c r="AF26" i="84"/>
  <c r="AG26" i="84"/>
  <c r="AF27" i="84"/>
  <c r="AG27" i="84"/>
  <c r="AF28" i="84"/>
  <c r="AG28" i="84"/>
  <c r="AF29" i="84"/>
  <c r="AG29" i="84"/>
  <c r="AF30" i="84"/>
  <c r="AG30" i="84"/>
  <c r="AF31" i="84"/>
  <c r="AG31" i="84"/>
  <c r="AF32" i="84"/>
  <c r="AG32" i="84"/>
  <c r="AF33" i="84"/>
  <c r="AG33" i="84"/>
  <c r="AF34" i="84"/>
  <c r="AG34" i="84"/>
  <c r="AF35" i="84"/>
  <c r="AG35" i="84"/>
  <c r="AF36" i="84"/>
  <c r="AG36" i="84"/>
  <c r="AF37" i="84"/>
  <c r="AG37" i="84"/>
  <c r="AF38" i="84"/>
  <c r="AG38" i="84"/>
  <c r="AF39" i="84"/>
  <c r="AG39" i="84"/>
  <c r="AF40" i="84"/>
  <c r="AG40" i="84"/>
  <c r="AF41" i="84"/>
  <c r="AG41" i="84"/>
  <c r="AF42" i="84"/>
  <c r="AG42" i="84"/>
  <c r="AF43" i="84"/>
  <c r="AG43" i="84"/>
  <c r="AF14" i="84"/>
  <c r="AG14" i="84"/>
  <c r="K52" i="84"/>
  <c r="U53" i="84"/>
  <c r="V53" i="84"/>
  <c r="X15" i="84" a="1"/>
  <c r="X15" i="84"/>
  <c r="X16" i="84" a="1"/>
  <c r="X16" i="84"/>
  <c r="X17" i="84" a="1"/>
  <c r="X18" i="84" a="1"/>
  <c r="X19" i="84" a="1"/>
  <c r="X20" i="84" a="1"/>
  <c r="X21" i="84" a="1"/>
  <c r="X22" i="84" a="1"/>
  <c r="X23" i="84" a="1"/>
  <c r="X24" i="84" a="1"/>
  <c r="X25" i="84" a="1"/>
  <c r="X26" i="84" a="1"/>
  <c r="X27" i="84" a="1"/>
  <c r="X28" i="84" a="1"/>
  <c r="X29" i="84" a="1"/>
  <c r="X30" i="84" a="1"/>
  <c r="X31" i="84" a="1"/>
  <c r="X32" i="84" a="1"/>
  <c r="X33" i="84" a="1"/>
  <c r="X34" i="84" a="1"/>
  <c r="X35" i="84" a="1"/>
  <c r="X36" i="84" a="1"/>
  <c r="X37" i="84" a="1"/>
  <c r="X38" i="84" a="1"/>
  <c r="X39" i="84" a="1"/>
  <c r="X40" i="84" a="1"/>
  <c r="X41" i="84" a="1"/>
  <c r="X42" i="84" a="1"/>
  <c r="X43" i="84" a="1"/>
  <c r="X17" i="84"/>
  <c r="X18" i="84"/>
  <c r="X19" i="84"/>
  <c r="X20" i="84"/>
  <c r="X21" i="84"/>
  <c r="X22" i="84"/>
  <c r="X23" i="84"/>
  <c r="X24" i="84"/>
  <c r="X25" i="84"/>
  <c r="X26" i="84"/>
  <c r="X27" i="84"/>
  <c r="X28" i="84"/>
  <c r="X29" i="84"/>
  <c r="X30" i="84"/>
  <c r="X31" i="84"/>
  <c r="X32" i="84"/>
  <c r="X33" i="84"/>
  <c r="X34" i="84"/>
  <c r="X35" i="84"/>
  <c r="X36" i="84"/>
  <c r="X37" i="84"/>
  <c r="X38" i="84"/>
  <c r="X39" i="84"/>
  <c r="X40" i="84"/>
  <c r="X41" i="84"/>
  <c r="X42" i="84"/>
  <c r="X43" i="84"/>
  <c r="X53" i="84"/>
  <c r="Y15" i="84" a="1"/>
  <c r="Y15" i="84"/>
  <c r="Y16" i="84" a="1"/>
  <c r="Y16" i="84"/>
  <c r="Y17" i="84" a="1"/>
  <c r="Y18" i="84" a="1"/>
  <c r="Y19" i="84" a="1"/>
  <c r="Y20" i="84" a="1"/>
  <c r="Y21" i="84" a="1"/>
  <c r="Y22" i="84" a="1"/>
  <c r="Y23" i="84" a="1"/>
  <c r="Y24" i="84" a="1"/>
  <c r="Y25" i="84" a="1"/>
  <c r="Y26" i="84" a="1"/>
  <c r="Y27" i="84" a="1"/>
  <c r="Y28" i="84" a="1"/>
  <c r="Y29" i="84" a="1"/>
  <c r="Y30" i="84" a="1"/>
  <c r="Y31" i="84" a="1"/>
  <c r="Y32" i="84" a="1"/>
  <c r="Y33" i="84" a="1"/>
  <c r="Y34" i="84" a="1"/>
  <c r="Y35" i="84" a="1"/>
  <c r="Y36" i="84" a="1"/>
  <c r="Y37" i="84" a="1"/>
  <c r="Y38" i="84" a="1"/>
  <c r="Y39" i="84" a="1"/>
  <c r="Y40" i="84" a="1"/>
  <c r="Y41" i="84" a="1"/>
  <c r="Y42" i="84" a="1"/>
  <c r="Y43" i="84" a="1"/>
  <c r="Y17" i="84"/>
  <c r="Y18" i="84"/>
  <c r="Y19" i="84"/>
  <c r="Y20" i="84"/>
  <c r="Y21" i="84"/>
  <c r="Y22" i="84"/>
  <c r="Y23" i="84"/>
  <c r="Y24" i="84"/>
  <c r="Y25" i="84"/>
  <c r="Y26" i="84"/>
  <c r="Y27" i="84"/>
  <c r="Y28" i="84"/>
  <c r="Y29" i="84"/>
  <c r="Y30" i="84"/>
  <c r="Y31" i="84"/>
  <c r="Y32" i="84"/>
  <c r="Y33" i="84"/>
  <c r="Y34" i="84"/>
  <c r="Y35" i="84"/>
  <c r="Y36" i="84"/>
  <c r="Y37" i="84"/>
  <c r="Y38" i="84"/>
  <c r="Y39" i="84"/>
  <c r="Y40" i="84"/>
  <c r="Y41" i="84"/>
  <c r="Y42" i="84"/>
  <c r="Y43" i="84"/>
  <c r="Y53" i="84"/>
  <c r="B13" i="84"/>
  <c r="H78" i="84"/>
  <c r="H81" i="84"/>
  <c r="H82" i="84"/>
  <c r="H83" i="84"/>
  <c r="H84" i="84"/>
  <c r="H105" i="84"/>
  <c r="H108" i="84"/>
  <c r="H109" i="84"/>
  <c r="H110" i="84"/>
  <c r="H111" i="84"/>
  <c r="H79" i="84"/>
  <c r="H80" i="84"/>
  <c r="H87" i="84"/>
  <c r="H88" i="84"/>
  <c r="H89" i="84"/>
  <c r="H90" i="84"/>
  <c r="H91" i="84"/>
  <c r="H92" i="84"/>
  <c r="H93" i="84"/>
  <c r="H94" i="84"/>
  <c r="H95" i="84"/>
  <c r="H96" i="84"/>
  <c r="H97" i="84"/>
  <c r="H98" i="84"/>
  <c r="H99" i="84"/>
  <c r="H100" i="84"/>
  <c r="H101" i="84"/>
  <c r="H102" i="84"/>
  <c r="H103" i="84"/>
  <c r="H106" i="84"/>
  <c r="H107" i="84"/>
  <c r="K53" i="84"/>
  <c r="Q14" i="84"/>
  <c r="Q15" i="84"/>
  <c r="Q16" i="84"/>
  <c r="Q17" i="84"/>
  <c r="Q18" i="84"/>
  <c r="Q19" i="84"/>
  <c r="Q20" i="84"/>
  <c r="Q21" i="84"/>
  <c r="Q22" i="84"/>
  <c r="Q23" i="84"/>
  <c r="Q24" i="84"/>
  <c r="Q25" i="84"/>
  <c r="Q26" i="84"/>
  <c r="Q27" i="84"/>
  <c r="Q28" i="84"/>
  <c r="Q29" i="84"/>
  <c r="Q30" i="84"/>
  <c r="Q31" i="84"/>
  <c r="Q32" i="84"/>
  <c r="Q33" i="84"/>
  <c r="Q34" i="84"/>
  <c r="Q35" i="84"/>
  <c r="Q36" i="84"/>
  <c r="Q37" i="84"/>
  <c r="Q38" i="84"/>
  <c r="Q39" i="84"/>
  <c r="Q40" i="84"/>
  <c r="Q41" i="84"/>
  <c r="Q42" i="84"/>
  <c r="Q43" i="84"/>
  <c r="R14" i="84"/>
  <c r="R15" i="84"/>
  <c r="R16" i="84"/>
  <c r="R17" i="84"/>
  <c r="R18" i="84"/>
  <c r="R19" i="84"/>
  <c r="R20" i="84"/>
  <c r="R21" i="84"/>
  <c r="R22" i="84"/>
  <c r="R23" i="84"/>
  <c r="R24" i="84"/>
  <c r="R25" i="84"/>
  <c r="R26" i="84"/>
  <c r="R27" i="84"/>
  <c r="R28" i="84"/>
  <c r="R29" i="84"/>
  <c r="R30" i="84"/>
  <c r="R31" i="84"/>
  <c r="R32" i="84"/>
  <c r="R33" i="84"/>
  <c r="R34" i="84"/>
  <c r="R35" i="84"/>
  <c r="R36" i="84"/>
  <c r="R37" i="84"/>
  <c r="R38" i="84"/>
  <c r="R39" i="84"/>
  <c r="R40" i="84"/>
  <c r="R41" i="84"/>
  <c r="R42" i="84"/>
  <c r="R43" i="84"/>
  <c r="K57" i="84"/>
  <c r="L58" i="84"/>
  <c r="L51" i="84"/>
  <c r="D55" i="83"/>
  <c r="D56" i="83"/>
  <c r="D57" i="83"/>
  <c r="L74" i="83"/>
  <c r="H8" i="83"/>
  <c r="E13" i="83"/>
  <c r="AB14" i="83"/>
  <c r="AB15" i="83"/>
  <c r="AB16" i="83"/>
  <c r="AB17" i="83"/>
  <c r="AB18" i="83"/>
  <c r="AB19" i="83"/>
  <c r="AB20" i="83"/>
  <c r="AB21" i="83"/>
  <c r="AB22" i="83"/>
  <c r="AB23" i="83"/>
  <c r="AB24" i="83"/>
  <c r="AB25" i="83"/>
  <c r="AB26" i="83"/>
  <c r="AB27" i="83"/>
  <c r="AB28" i="83"/>
  <c r="AB29" i="83"/>
  <c r="AB30" i="83"/>
  <c r="AB31" i="83"/>
  <c r="AB32" i="83"/>
  <c r="AB33" i="83"/>
  <c r="AB34" i="83"/>
  <c r="AB35" i="83"/>
  <c r="AB36" i="83"/>
  <c r="AB37" i="83"/>
  <c r="AB38" i="83"/>
  <c r="AB39" i="83"/>
  <c r="AB40" i="83"/>
  <c r="AB41" i="83"/>
  <c r="AB42" i="83"/>
  <c r="AB43" i="83"/>
  <c r="D13" i="83"/>
  <c r="M13" i="83"/>
  <c r="L13" i="83"/>
  <c r="L14" i="83"/>
  <c r="K14" i="83"/>
  <c r="T14" i="83"/>
  <c r="U15" i="83" a="1"/>
  <c r="U15" i="83"/>
  <c r="L15" i="83"/>
  <c r="K15" i="83"/>
  <c r="T15" i="83"/>
  <c r="U16" i="83" a="1"/>
  <c r="U16" i="83"/>
  <c r="L16" i="83"/>
  <c r="K16" i="83"/>
  <c r="T16" i="83"/>
  <c r="U17" i="83" a="1"/>
  <c r="L17" i="83"/>
  <c r="K17" i="83"/>
  <c r="T17" i="83"/>
  <c r="U18" i="83" a="1"/>
  <c r="L18" i="83"/>
  <c r="K18" i="83"/>
  <c r="T18" i="83"/>
  <c r="U19" i="83" a="1"/>
  <c r="L19" i="83"/>
  <c r="K19" i="83"/>
  <c r="T19" i="83"/>
  <c r="U20" i="83" a="1"/>
  <c r="L20" i="83"/>
  <c r="K20" i="83"/>
  <c r="T20" i="83"/>
  <c r="U21" i="83" a="1"/>
  <c r="L21" i="83"/>
  <c r="K21" i="83"/>
  <c r="T21" i="83"/>
  <c r="U22" i="83" a="1"/>
  <c r="L22" i="83"/>
  <c r="K22" i="83"/>
  <c r="T22" i="83"/>
  <c r="U23" i="83" a="1"/>
  <c r="L23" i="83"/>
  <c r="K23" i="83"/>
  <c r="T23" i="83"/>
  <c r="U24" i="83" a="1"/>
  <c r="L24" i="83"/>
  <c r="K24" i="83"/>
  <c r="T24" i="83"/>
  <c r="U25" i="83" a="1"/>
  <c r="L25" i="83"/>
  <c r="K25" i="83"/>
  <c r="T25" i="83"/>
  <c r="U26" i="83" a="1"/>
  <c r="L26" i="83"/>
  <c r="K26" i="83"/>
  <c r="T26" i="83"/>
  <c r="U27" i="83" a="1"/>
  <c r="L27" i="83"/>
  <c r="K27" i="83"/>
  <c r="T27" i="83"/>
  <c r="U28" i="83" a="1"/>
  <c r="L28" i="83"/>
  <c r="K28" i="83"/>
  <c r="T28" i="83"/>
  <c r="U29" i="83" a="1"/>
  <c r="L29" i="83"/>
  <c r="K29" i="83"/>
  <c r="T29" i="83"/>
  <c r="U30" i="83" a="1"/>
  <c r="L30" i="83"/>
  <c r="K30" i="83"/>
  <c r="T30" i="83"/>
  <c r="U31" i="83" a="1"/>
  <c r="L31" i="83"/>
  <c r="K31" i="83"/>
  <c r="T31" i="83"/>
  <c r="U32" i="83" a="1"/>
  <c r="L32" i="83"/>
  <c r="K32" i="83"/>
  <c r="T32" i="83"/>
  <c r="U33" i="83" a="1"/>
  <c r="L33" i="83"/>
  <c r="K33" i="83"/>
  <c r="T33" i="83"/>
  <c r="U34" i="83" a="1"/>
  <c r="L34" i="83"/>
  <c r="K34" i="83"/>
  <c r="T34" i="83"/>
  <c r="U35" i="83" a="1"/>
  <c r="L35" i="83"/>
  <c r="K35" i="83"/>
  <c r="T35" i="83"/>
  <c r="U36" i="83" a="1"/>
  <c r="L36" i="83"/>
  <c r="K36" i="83"/>
  <c r="T36" i="83"/>
  <c r="U37" i="83" a="1"/>
  <c r="L37" i="83"/>
  <c r="K37" i="83"/>
  <c r="T37" i="83"/>
  <c r="U38" i="83" a="1"/>
  <c r="L38" i="83"/>
  <c r="K38" i="83"/>
  <c r="T38" i="83"/>
  <c r="U39" i="83" a="1"/>
  <c r="L39" i="83"/>
  <c r="K39" i="83"/>
  <c r="T39" i="83"/>
  <c r="U40" i="83" a="1"/>
  <c r="L40" i="83"/>
  <c r="K40" i="83"/>
  <c r="T40" i="83"/>
  <c r="U41" i="83" a="1"/>
  <c r="L41" i="83"/>
  <c r="K41" i="83"/>
  <c r="T41" i="83"/>
  <c r="U42" i="83" a="1"/>
  <c r="L42" i="83"/>
  <c r="K42" i="83"/>
  <c r="T42" i="83"/>
  <c r="U43" i="83" a="1"/>
  <c r="U17" i="83"/>
  <c r="U18" i="83"/>
  <c r="U19" i="83"/>
  <c r="U20" i="83"/>
  <c r="U21" i="83"/>
  <c r="U22" i="83"/>
  <c r="U23" i="83"/>
  <c r="U24" i="83"/>
  <c r="U25" i="83"/>
  <c r="U26" i="83"/>
  <c r="U27" i="83"/>
  <c r="U28" i="83"/>
  <c r="U29" i="83"/>
  <c r="U30" i="83"/>
  <c r="U31" i="83"/>
  <c r="U32" i="83"/>
  <c r="U33" i="83"/>
  <c r="U34" i="83"/>
  <c r="U35" i="83"/>
  <c r="U36" i="83"/>
  <c r="U37" i="83"/>
  <c r="U38" i="83"/>
  <c r="U39" i="83"/>
  <c r="U40" i="83"/>
  <c r="U41" i="83"/>
  <c r="U42" i="83"/>
  <c r="U43" i="83"/>
  <c r="U51" i="83"/>
  <c r="V15" i="83" a="1"/>
  <c r="V15" i="83"/>
  <c r="V16" i="83" a="1"/>
  <c r="V16" i="83"/>
  <c r="V17" i="83" a="1"/>
  <c r="V18" i="83" a="1"/>
  <c r="V19" i="83" a="1"/>
  <c r="V20" i="83" a="1"/>
  <c r="V21" i="83" a="1"/>
  <c r="V22" i="83" a="1"/>
  <c r="V23" i="83" a="1"/>
  <c r="V24" i="83" a="1"/>
  <c r="V25" i="83" a="1"/>
  <c r="V26" i="83" a="1"/>
  <c r="V27" i="83" a="1"/>
  <c r="V28" i="83" a="1"/>
  <c r="V29" i="83" a="1"/>
  <c r="V30" i="83" a="1"/>
  <c r="V31" i="83" a="1"/>
  <c r="V32" i="83" a="1"/>
  <c r="V33" i="83" a="1"/>
  <c r="V34" i="83" a="1"/>
  <c r="V35" i="83" a="1"/>
  <c r="V36" i="83" a="1"/>
  <c r="V37" i="83" a="1"/>
  <c r="V38" i="83" a="1"/>
  <c r="V39" i="83" a="1"/>
  <c r="V40" i="83" a="1"/>
  <c r="V41" i="83" a="1"/>
  <c r="V42" i="83" a="1"/>
  <c r="L43" i="83"/>
  <c r="K43" i="83"/>
  <c r="T43" i="83"/>
  <c r="V43" i="83" a="1"/>
  <c r="V17" i="83"/>
  <c r="V18" i="83"/>
  <c r="V19" i="83"/>
  <c r="V20" i="83"/>
  <c r="V21" i="83"/>
  <c r="V22" i="83"/>
  <c r="V23" i="83"/>
  <c r="V24" i="83"/>
  <c r="V25" i="83"/>
  <c r="V26" i="83"/>
  <c r="V27" i="83"/>
  <c r="V28" i="83"/>
  <c r="V29" i="83"/>
  <c r="V30" i="83"/>
  <c r="V31" i="83"/>
  <c r="V32" i="83"/>
  <c r="V33" i="83"/>
  <c r="V34" i="83"/>
  <c r="V35" i="83"/>
  <c r="V36" i="83"/>
  <c r="V37" i="83"/>
  <c r="V38" i="83"/>
  <c r="V39" i="83"/>
  <c r="V40" i="83"/>
  <c r="V41" i="83"/>
  <c r="V42" i="83"/>
  <c r="V43" i="83"/>
  <c r="V51" i="83"/>
  <c r="W15" i="83" a="1"/>
  <c r="W15" i="83"/>
  <c r="W16" i="83" a="1"/>
  <c r="W16" i="83"/>
  <c r="W17" i="83" a="1"/>
  <c r="W18" i="83" a="1"/>
  <c r="W19" i="83" a="1"/>
  <c r="W20" i="83" a="1"/>
  <c r="W21" i="83" a="1"/>
  <c r="W22" i="83" a="1"/>
  <c r="W23" i="83" a="1"/>
  <c r="W24" i="83" a="1"/>
  <c r="W25" i="83" a="1"/>
  <c r="W26" i="83" a="1"/>
  <c r="W27" i="83" a="1"/>
  <c r="W28" i="83" a="1"/>
  <c r="W29" i="83" a="1"/>
  <c r="W30" i="83" a="1"/>
  <c r="W31" i="83" a="1"/>
  <c r="W32" i="83" a="1"/>
  <c r="W33" i="83" a="1"/>
  <c r="W34" i="83" a="1"/>
  <c r="W35" i="83" a="1"/>
  <c r="W36" i="83" a="1"/>
  <c r="W37" i="83" a="1"/>
  <c r="W38" i="83" a="1"/>
  <c r="W39" i="83" a="1"/>
  <c r="W40" i="83" a="1"/>
  <c r="W41" i="83" a="1"/>
  <c r="W42" i="83" a="1"/>
  <c r="W43" i="83" a="1"/>
  <c r="W17" i="83"/>
  <c r="W18" i="83"/>
  <c r="W19" i="83"/>
  <c r="W20" i="83"/>
  <c r="W21" i="83"/>
  <c r="W22" i="83"/>
  <c r="W23" i="83"/>
  <c r="W24" i="83"/>
  <c r="W25" i="83"/>
  <c r="W26" i="83"/>
  <c r="W27" i="83"/>
  <c r="W28" i="83"/>
  <c r="W29" i="83"/>
  <c r="W30" i="83"/>
  <c r="W31" i="83"/>
  <c r="W32" i="83"/>
  <c r="W33" i="83"/>
  <c r="W34" i="83"/>
  <c r="W35" i="83"/>
  <c r="W36" i="83"/>
  <c r="W37" i="83"/>
  <c r="W38" i="83"/>
  <c r="W39" i="83"/>
  <c r="W40" i="83"/>
  <c r="W41" i="83"/>
  <c r="W42" i="83"/>
  <c r="W43" i="83"/>
  <c r="W51" i="83"/>
  <c r="U52" i="83"/>
  <c r="V52" i="83"/>
  <c r="AH14" i="83"/>
  <c r="AH15" i="83"/>
  <c r="AH16" i="83"/>
  <c r="AH17" i="83"/>
  <c r="AH18" i="83"/>
  <c r="AH19" i="83"/>
  <c r="AH20" i="83"/>
  <c r="AH21" i="83"/>
  <c r="AH22" i="83"/>
  <c r="AH23" i="83"/>
  <c r="AH24" i="83"/>
  <c r="AH25" i="83"/>
  <c r="AH26" i="83"/>
  <c r="AH27" i="83"/>
  <c r="AH28" i="83"/>
  <c r="AH29" i="83"/>
  <c r="AH30" i="83"/>
  <c r="AH31" i="83"/>
  <c r="AH32" i="83"/>
  <c r="AH33" i="83"/>
  <c r="AH34" i="83"/>
  <c r="AH35" i="83"/>
  <c r="AH36" i="83"/>
  <c r="AH37" i="83"/>
  <c r="AH38" i="83"/>
  <c r="AH39" i="83"/>
  <c r="AH40" i="83"/>
  <c r="AH41" i="83"/>
  <c r="AH42" i="83"/>
  <c r="AH43" i="83"/>
  <c r="L63" i="83"/>
  <c r="L62" i="83"/>
  <c r="AF15" i="83"/>
  <c r="AG15" i="83"/>
  <c r="AF16" i="83"/>
  <c r="AG16" i="83"/>
  <c r="AF17" i="83"/>
  <c r="AG17" i="83"/>
  <c r="AF18" i="83"/>
  <c r="AG18" i="83"/>
  <c r="AF19" i="83"/>
  <c r="AG19" i="83"/>
  <c r="AF20" i="83"/>
  <c r="AG20" i="83"/>
  <c r="AF21" i="83"/>
  <c r="AG21" i="83"/>
  <c r="AF22" i="83"/>
  <c r="AG22" i="83"/>
  <c r="AF23" i="83"/>
  <c r="AG23" i="83"/>
  <c r="AF24" i="83"/>
  <c r="AG24" i="83"/>
  <c r="AF25" i="83"/>
  <c r="AG25" i="83"/>
  <c r="AF26" i="83"/>
  <c r="AG26" i="83"/>
  <c r="AF27" i="83"/>
  <c r="AG27" i="83"/>
  <c r="AF28" i="83"/>
  <c r="AG28" i="83"/>
  <c r="AF29" i="83"/>
  <c r="AG29" i="83"/>
  <c r="AF30" i="83"/>
  <c r="AG30" i="83"/>
  <c r="AF31" i="83"/>
  <c r="AG31" i="83"/>
  <c r="AF32" i="83"/>
  <c r="AG32" i="83"/>
  <c r="AF33" i="83"/>
  <c r="AG33" i="83"/>
  <c r="AF34" i="83"/>
  <c r="AG34" i="83"/>
  <c r="AF35" i="83"/>
  <c r="AG35" i="83"/>
  <c r="AF36" i="83"/>
  <c r="AG36" i="83"/>
  <c r="AF37" i="83"/>
  <c r="AG37" i="83"/>
  <c r="AF38" i="83"/>
  <c r="AG38" i="83"/>
  <c r="AF39" i="83"/>
  <c r="AG39" i="83"/>
  <c r="AF40" i="83"/>
  <c r="AG40" i="83"/>
  <c r="AF41" i="83"/>
  <c r="AG41" i="83"/>
  <c r="AF42" i="83"/>
  <c r="AG42" i="83"/>
  <c r="AF43" i="83"/>
  <c r="AG43" i="83"/>
  <c r="AF14" i="83"/>
  <c r="AG14" i="83"/>
  <c r="K52" i="83"/>
  <c r="U53" i="83"/>
  <c r="V53" i="83"/>
  <c r="X15" i="83" a="1"/>
  <c r="X15" i="83"/>
  <c r="X16" i="83" a="1"/>
  <c r="X16" i="83"/>
  <c r="X17" i="83" a="1"/>
  <c r="X18" i="83" a="1"/>
  <c r="X19" i="83" a="1"/>
  <c r="X20" i="83" a="1"/>
  <c r="X21" i="83" a="1"/>
  <c r="X22" i="83" a="1"/>
  <c r="X23" i="83" a="1"/>
  <c r="X24" i="83" a="1"/>
  <c r="X25" i="83" a="1"/>
  <c r="X26" i="83" a="1"/>
  <c r="X27" i="83" a="1"/>
  <c r="X28" i="83" a="1"/>
  <c r="X29" i="83" a="1"/>
  <c r="X30" i="83" a="1"/>
  <c r="X31" i="83" a="1"/>
  <c r="X32" i="83" a="1"/>
  <c r="X33" i="83" a="1"/>
  <c r="X34" i="83" a="1"/>
  <c r="X35" i="83" a="1"/>
  <c r="X36" i="83" a="1"/>
  <c r="X37" i="83" a="1"/>
  <c r="X38" i="83" a="1"/>
  <c r="X39" i="83" a="1"/>
  <c r="X40" i="83" a="1"/>
  <c r="X41" i="83" a="1"/>
  <c r="X42" i="83" a="1"/>
  <c r="X43" i="83" a="1"/>
  <c r="X17" i="83"/>
  <c r="X18" i="83"/>
  <c r="X19" i="83"/>
  <c r="X20" i="83"/>
  <c r="X21" i="83"/>
  <c r="X22" i="83"/>
  <c r="X23" i="83"/>
  <c r="X24" i="83"/>
  <c r="X25" i="83"/>
  <c r="X26" i="83"/>
  <c r="X27" i="83"/>
  <c r="X28" i="83"/>
  <c r="X29" i="83"/>
  <c r="X30" i="83"/>
  <c r="X31" i="83"/>
  <c r="X32" i="83"/>
  <c r="X33" i="83"/>
  <c r="X34" i="83"/>
  <c r="X35" i="83"/>
  <c r="X36" i="83"/>
  <c r="X37" i="83"/>
  <c r="X38" i="83"/>
  <c r="X39" i="83"/>
  <c r="X40" i="83"/>
  <c r="X41" i="83"/>
  <c r="X42" i="83"/>
  <c r="X43" i="83"/>
  <c r="X53" i="83"/>
  <c r="Y15" i="83" a="1"/>
  <c r="Y15" i="83"/>
  <c r="Y16" i="83" a="1"/>
  <c r="Y16" i="83"/>
  <c r="Y17" i="83" a="1"/>
  <c r="Y18" i="83" a="1"/>
  <c r="Y19" i="83" a="1"/>
  <c r="Y20" i="83" a="1"/>
  <c r="Y21" i="83" a="1"/>
  <c r="Y22" i="83" a="1"/>
  <c r="Y23" i="83" a="1"/>
  <c r="Y24" i="83" a="1"/>
  <c r="Y25" i="83" a="1"/>
  <c r="Y26" i="83" a="1"/>
  <c r="Y27" i="83" a="1"/>
  <c r="Y28" i="83" a="1"/>
  <c r="Y29" i="83" a="1"/>
  <c r="Y30" i="83" a="1"/>
  <c r="Y31" i="83" a="1"/>
  <c r="Y32" i="83" a="1"/>
  <c r="Y33" i="83" a="1"/>
  <c r="Y34" i="83" a="1"/>
  <c r="Y35" i="83" a="1"/>
  <c r="Y36" i="83" a="1"/>
  <c r="Y37" i="83" a="1"/>
  <c r="Y38" i="83" a="1"/>
  <c r="Y39" i="83" a="1"/>
  <c r="Y40" i="83" a="1"/>
  <c r="Y41" i="83" a="1"/>
  <c r="Y42" i="83" a="1"/>
  <c r="Y43" i="83" a="1"/>
  <c r="Y17" i="83"/>
  <c r="Y18" i="83"/>
  <c r="Y19" i="83"/>
  <c r="Y20" i="83"/>
  <c r="Y21" i="83"/>
  <c r="Y22" i="83"/>
  <c r="Y23" i="83"/>
  <c r="Y24" i="83"/>
  <c r="Y25" i="83"/>
  <c r="Y26" i="83"/>
  <c r="Y27" i="83"/>
  <c r="Y28" i="83"/>
  <c r="Y29" i="83"/>
  <c r="Y30" i="83"/>
  <c r="Y31" i="83"/>
  <c r="Y32" i="83"/>
  <c r="Y33" i="83"/>
  <c r="Y34" i="83"/>
  <c r="Y35" i="83"/>
  <c r="Y36" i="83"/>
  <c r="Y37" i="83"/>
  <c r="Y38" i="83"/>
  <c r="Y39" i="83"/>
  <c r="Y40" i="83"/>
  <c r="Y41" i="83"/>
  <c r="Y42" i="83"/>
  <c r="Y43" i="83"/>
  <c r="Y53" i="83"/>
  <c r="B13" i="83"/>
  <c r="H78" i="83"/>
  <c r="H81" i="83"/>
  <c r="H82" i="83"/>
  <c r="H83" i="83"/>
  <c r="H84" i="83"/>
  <c r="H105" i="83"/>
  <c r="H108" i="83"/>
  <c r="H109" i="83"/>
  <c r="H110" i="83"/>
  <c r="H111" i="83"/>
  <c r="H79" i="83"/>
  <c r="H80" i="83"/>
  <c r="H87" i="83"/>
  <c r="H88" i="83"/>
  <c r="H89" i="83"/>
  <c r="H90" i="83"/>
  <c r="H91" i="83"/>
  <c r="H92" i="83"/>
  <c r="H93" i="83"/>
  <c r="H94" i="83"/>
  <c r="H95" i="83"/>
  <c r="H96" i="83"/>
  <c r="H97" i="83"/>
  <c r="H98" i="83"/>
  <c r="H99" i="83"/>
  <c r="H100" i="83"/>
  <c r="H101" i="83"/>
  <c r="H102" i="83"/>
  <c r="H103" i="83"/>
  <c r="H106" i="83"/>
  <c r="H107" i="83"/>
  <c r="K53" i="83"/>
  <c r="Q14" i="83"/>
  <c r="Q15" i="83"/>
  <c r="Q16" i="83"/>
  <c r="Q17" i="83"/>
  <c r="Q18" i="83"/>
  <c r="Q19" i="83"/>
  <c r="Q20" i="83"/>
  <c r="Q21" i="83"/>
  <c r="Q22" i="83"/>
  <c r="Q23" i="83"/>
  <c r="Q24" i="83"/>
  <c r="Q25" i="83"/>
  <c r="Q26" i="83"/>
  <c r="Q27" i="83"/>
  <c r="Q28" i="83"/>
  <c r="Q29" i="83"/>
  <c r="Q30" i="83"/>
  <c r="Q31" i="83"/>
  <c r="Q32" i="83"/>
  <c r="Q33" i="83"/>
  <c r="Q34" i="83"/>
  <c r="Q35" i="83"/>
  <c r="Q36" i="83"/>
  <c r="Q37" i="83"/>
  <c r="Q38" i="83"/>
  <c r="Q39" i="83"/>
  <c r="Q40" i="83"/>
  <c r="Q41" i="83"/>
  <c r="Q42" i="83"/>
  <c r="Q43" i="83"/>
  <c r="R14" i="83"/>
  <c r="R15" i="83"/>
  <c r="R16" i="83"/>
  <c r="R17" i="83"/>
  <c r="R18" i="83"/>
  <c r="R19" i="83"/>
  <c r="R20" i="83"/>
  <c r="R21" i="83"/>
  <c r="R22" i="83"/>
  <c r="R23" i="83"/>
  <c r="R24" i="83"/>
  <c r="R25" i="83"/>
  <c r="R26" i="83"/>
  <c r="R27" i="83"/>
  <c r="R28" i="83"/>
  <c r="R29" i="83"/>
  <c r="R30" i="83"/>
  <c r="R31" i="83"/>
  <c r="R32" i="83"/>
  <c r="R33" i="83"/>
  <c r="R34" i="83"/>
  <c r="R35" i="83"/>
  <c r="R36" i="83"/>
  <c r="R37" i="83"/>
  <c r="R38" i="83"/>
  <c r="R39" i="83"/>
  <c r="R40" i="83"/>
  <c r="R41" i="83"/>
  <c r="R42" i="83"/>
  <c r="R43" i="83"/>
  <c r="K57" i="83"/>
  <c r="L58" i="83"/>
  <c r="L51" i="83"/>
  <c r="D55" i="82"/>
  <c r="D56" i="82"/>
  <c r="D57" i="82"/>
  <c r="L74" i="82"/>
  <c r="H8" i="82"/>
  <c r="E13" i="82"/>
  <c r="AB14" i="82"/>
  <c r="AB15" i="82"/>
  <c r="AB16" i="82"/>
  <c r="AB17" i="82"/>
  <c r="AB18" i="82"/>
  <c r="AB19" i="82"/>
  <c r="AB20" i="82"/>
  <c r="AB21" i="82"/>
  <c r="AB22" i="82"/>
  <c r="AB23" i="82"/>
  <c r="AB24" i="82"/>
  <c r="AB25" i="82"/>
  <c r="AB26" i="82"/>
  <c r="AB27" i="82"/>
  <c r="AB28" i="82"/>
  <c r="AB29" i="82"/>
  <c r="AB30" i="82"/>
  <c r="AB31" i="82"/>
  <c r="AB32" i="82"/>
  <c r="AB33" i="82"/>
  <c r="AB34" i="82"/>
  <c r="AB35" i="82"/>
  <c r="AB36" i="82"/>
  <c r="AB37" i="82"/>
  <c r="AB38" i="82"/>
  <c r="AB39" i="82"/>
  <c r="AB40" i="82"/>
  <c r="AB41" i="82"/>
  <c r="AB42" i="82"/>
  <c r="AB43" i="82"/>
  <c r="D13" i="82"/>
  <c r="M13" i="82"/>
  <c r="L13" i="82"/>
  <c r="L14" i="82"/>
  <c r="K14" i="82"/>
  <c r="T14" i="82"/>
  <c r="U15" i="82" a="1"/>
  <c r="U15" i="82"/>
  <c r="L15" i="82"/>
  <c r="K15" i="82"/>
  <c r="T15" i="82"/>
  <c r="U16" i="82" a="1"/>
  <c r="U16" i="82"/>
  <c r="L16" i="82"/>
  <c r="K16" i="82"/>
  <c r="T16" i="82"/>
  <c r="U17" i="82" a="1"/>
  <c r="L17" i="82"/>
  <c r="K17" i="82"/>
  <c r="T17" i="82"/>
  <c r="U18" i="82" a="1"/>
  <c r="L18" i="82"/>
  <c r="K18" i="82"/>
  <c r="T18" i="82"/>
  <c r="U19" i="82" a="1"/>
  <c r="L19" i="82"/>
  <c r="K19" i="82"/>
  <c r="T19" i="82"/>
  <c r="U20" i="82" a="1"/>
  <c r="L20" i="82"/>
  <c r="K20" i="82"/>
  <c r="T20" i="82"/>
  <c r="U21" i="82" a="1"/>
  <c r="L21" i="82"/>
  <c r="K21" i="82"/>
  <c r="T21" i="82"/>
  <c r="U22" i="82" a="1"/>
  <c r="L22" i="82"/>
  <c r="K22" i="82"/>
  <c r="T22" i="82"/>
  <c r="U23" i="82" a="1"/>
  <c r="L23" i="82"/>
  <c r="K23" i="82"/>
  <c r="T23" i="82"/>
  <c r="U24" i="82" a="1"/>
  <c r="L24" i="82"/>
  <c r="K24" i="82"/>
  <c r="T24" i="82"/>
  <c r="U25" i="82" a="1"/>
  <c r="L25" i="82"/>
  <c r="K25" i="82"/>
  <c r="T25" i="82"/>
  <c r="U26" i="82" a="1"/>
  <c r="L26" i="82"/>
  <c r="K26" i="82"/>
  <c r="T26" i="82"/>
  <c r="U27" i="82" a="1"/>
  <c r="L27" i="82"/>
  <c r="K27" i="82"/>
  <c r="T27" i="82"/>
  <c r="U28" i="82" a="1"/>
  <c r="L28" i="82"/>
  <c r="K28" i="82"/>
  <c r="T28" i="82"/>
  <c r="U29" i="82" a="1"/>
  <c r="L29" i="82"/>
  <c r="K29" i="82"/>
  <c r="T29" i="82"/>
  <c r="U30" i="82" a="1"/>
  <c r="L30" i="82"/>
  <c r="K30" i="82"/>
  <c r="T30" i="82"/>
  <c r="U31" i="82" a="1"/>
  <c r="L31" i="82"/>
  <c r="K31" i="82"/>
  <c r="T31" i="82"/>
  <c r="U32" i="82" a="1"/>
  <c r="L32" i="82"/>
  <c r="K32" i="82"/>
  <c r="T32" i="82"/>
  <c r="U33" i="82" a="1"/>
  <c r="L33" i="82"/>
  <c r="K33" i="82"/>
  <c r="T33" i="82"/>
  <c r="U34" i="82" a="1"/>
  <c r="L34" i="82"/>
  <c r="K34" i="82"/>
  <c r="T34" i="82"/>
  <c r="U35" i="82" a="1"/>
  <c r="L35" i="82"/>
  <c r="K35" i="82"/>
  <c r="T35" i="82"/>
  <c r="U36" i="82" a="1"/>
  <c r="L36" i="82"/>
  <c r="K36" i="82"/>
  <c r="T36" i="82"/>
  <c r="U37" i="82" a="1"/>
  <c r="L37" i="82"/>
  <c r="K37" i="82"/>
  <c r="T37" i="82"/>
  <c r="U38" i="82" a="1"/>
  <c r="L38" i="82"/>
  <c r="K38" i="82"/>
  <c r="T38" i="82"/>
  <c r="U39" i="82" a="1"/>
  <c r="L39" i="82"/>
  <c r="K39" i="82"/>
  <c r="T39" i="82"/>
  <c r="U40" i="82" a="1"/>
  <c r="L40" i="82"/>
  <c r="K40" i="82"/>
  <c r="T40" i="82"/>
  <c r="U41" i="82" a="1"/>
  <c r="L41" i="82"/>
  <c r="K41" i="82"/>
  <c r="T41" i="82"/>
  <c r="U42" i="82" a="1"/>
  <c r="L42" i="82"/>
  <c r="K42" i="82"/>
  <c r="T42" i="82"/>
  <c r="U43" i="82" a="1"/>
  <c r="U17" i="82"/>
  <c r="U18" i="82"/>
  <c r="U19" i="82"/>
  <c r="U20" i="82"/>
  <c r="U21" i="82"/>
  <c r="U22" i="82"/>
  <c r="U23" i="82"/>
  <c r="U24" i="82"/>
  <c r="U25" i="82"/>
  <c r="U26" i="82"/>
  <c r="U27" i="82"/>
  <c r="U28" i="82"/>
  <c r="U29" i="82"/>
  <c r="U30" i="82"/>
  <c r="U31" i="82"/>
  <c r="U32" i="82"/>
  <c r="U33" i="82"/>
  <c r="U34" i="82"/>
  <c r="U35" i="82"/>
  <c r="U36" i="82"/>
  <c r="U37" i="82"/>
  <c r="U38" i="82"/>
  <c r="U39" i="82"/>
  <c r="U40" i="82"/>
  <c r="U41" i="82"/>
  <c r="U42" i="82"/>
  <c r="U43" i="82"/>
  <c r="U51" i="82"/>
  <c r="V15" i="82" a="1"/>
  <c r="V15" i="82"/>
  <c r="V16" i="82" a="1"/>
  <c r="V16" i="82"/>
  <c r="V17" i="82" a="1"/>
  <c r="V18" i="82" a="1"/>
  <c r="V19" i="82" a="1"/>
  <c r="V20" i="82" a="1"/>
  <c r="V21" i="82" a="1"/>
  <c r="V22" i="82" a="1"/>
  <c r="V23" i="82" a="1"/>
  <c r="V24" i="82" a="1"/>
  <c r="V25" i="82" a="1"/>
  <c r="V26" i="82" a="1"/>
  <c r="V27" i="82" a="1"/>
  <c r="V28" i="82" a="1"/>
  <c r="V29" i="82" a="1"/>
  <c r="V30" i="82" a="1"/>
  <c r="V31" i="82" a="1"/>
  <c r="V32" i="82" a="1"/>
  <c r="V33" i="82" a="1"/>
  <c r="V34" i="82" a="1"/>
  <c r="V35" i="82" a="1"/>
  <c r="V36" i="82" a="1"/>
  <c r="V37" i="82" a="1"/>
  <c r="V38" i="82" a="1"/>
  <c r="V39" i="82" a="1"/>
  <c r="V40" i="82" a="1"/>
  <c r="V41" i="82" a="1"/>
  <c r="V42" i="82" a="1"/>
  <c r="L43" i="82"/>
  <c r="K43" i="82"/>
  <c r="T43" i="82"/>
  <c r="V43" i="82" a="1"/>
  <c r="V17" i="82"/>
  <c r="V18" i="82"/>
  <c r="V19" i="82"/>
  <c r="V20" i="82"/>
  <c r="V21" i="82"/>
  <c r="V22" i="82"/>
  <c r="V23" i="82"/>
  <c r="V24" i="82"/>
  <c r="V25" i="82"/>
  <c r="V26" i="82"/>
  <c r="V27" i="82"/>
  <c r="V28" i="82"/>
  <c r="V29" i="82"/>
  <c r="V30" i="82"/>
  <c r="V31" i="82"/>
  <c r="V32" i="82"/>
  <c r="V33" i="82"/>
  <c r="V34" i="82"/>
  <c r="V35" i="82"/>
  <c r="V36" i="82"/>
  <c r="V37" i="82"/>
  <c r="V38" i="82"/>
  <c r="V39" i="82"/>
  <c r="V40" i="82"/>
  <c r="V41" i="82"/>
  <c r="V42" i="82"/>
  <c r="V43" i="82"/>
  <c r="V51" i="82"/>
  <c r="W15" i="82" a="1"/>
  <c r="W15" i="82"/>
  <c r="W16" i="82" a="1"/>
  <c r="W16" i="82"/>
  <c r="W17" i="82" a="1"/>
  <c r="W18" i="82" a="1"/>
  <c r="W19" i="82" a="1"/>
  <c r="W20" i="82" a="1"/>
  <c r="W21" i="82" a="1"/>
  <c r="W22" i="82" a="1"/>
  <c r="W23" i="82" a="1"/>
  <c r="W24" i="82" a="1"/>
  <c r="W25" i="82" a="1"/>
  <c r="W26" i="82" a="1"/>
  <c r="W27" i="82" a="1"/>
  <c r="W28" i="82" a="1"/>
  <c r="W29" i="82" a="1"/>
  <c r="W30" i="82" a="1"/>
  <c r="W31" i="82" a="1"/>
  <c r="W32" i="82" a="1"/>
  <c r="W33" i="82" a="1"/>
  <c r="W34" i="82" a="1"/>
  <c r="W35" i="82" a="1"/>
  <c r="W36" i="82" a="1"/>
  <c r="W37" i="82" a="1"/>
  <c r="W38" i="82" a="1"/>
  <c r="W39" i="82" a="1"/>
  <c r="W40" i="82" a="1"/>
  <c r="W41" i="82" a="1"/>
  <c r="W42" i="82" a="1"/>
  <c r="W43" i="82" a="1"/>
  <c r="W17" i="82"/>
  <c r="W18" i="82"/>
  <c r="W19" i="82"/>
  <c r="W20" i="82"/>
  <c r="W21" i="82"/>
  <c r="W22" i="82"/>
  <c r="W23" i="82"/>
  <c r="W24" i="82"/>
  <c r="W25" i="82"/>
  <c r="W26" i="82"/>
  <c r="W27" i="82"/>
  <c r="W28" i="82"/>
  <c r="W29" i="82"/>
  <c r="W30" i="82"/>
  <c r="W31" i="82"/>
  <c r="W32" i="82"/>
  <c r="W33" i="82"/>
  <c r="W34" i="82"/>
  <c r="W35" i="82"/>
  <c r="W36" i="82"/>
  <c r="W37" i="82"/>
  <c r="W38" i="82"/>
  <c r="W39" i="82"/>
  <c r="W40" i="82"/>
  <c r="W41" i="82"/>
  <c r="W42" i="82"/>
  <c r="W43" i="82"/>
  <c r="W51" i="82"/>
  <c r="U52" i="82"/>
  <c r="V52" i="82"/>
  <c r="AH14" i="82"/>
  <c r="AH15" i="82"/>
  <c r="AH16" i="82"/>
  <c r="AH17" i="82"/>
  <c r="AH18" i="82"/>
  <c r="AH19" i="82"/>
  <c r="AH20" i="82"/>
  <c r="AH21" i="82"/>
  <c r="AH22" i="82"/>
  <c r="AH23" i="82"/>
  <c r="AH24" i="82"/>
  <c r="AH25" i="82"/>
  <c r="AH26" i="82"/>
  <c r="AH27" i="82"/>
  <c r="AH28" i="82"/>
  <c r="AH29" i="82"/>
  <c r="AH30" i="82"/>
  <c r="AH31" i="82"/>
  <c r="AH32" i="82"/>
  <c r="AH33" i="82"/>
  <c r="AH34" i="82"/>
  <c r="AH35" i="82"/>
  <c r="AH36" i="82"/>
  <c r="AH37" i="82"/>
  <c r="AH38" i="82"/>
  <c r="AH39" i="82"/>
  <c r="AH40" i="82"/>
  <c r="AH41" i="82"/>
  <c r="AH42" i="82"/>
  <c r="AH43" i="82"/>
  <c r="L63" i="82"/>
  <c r="L62" i="82"/>
  <c r="AF14" i="82"/>
  <c r="AG14" i="82"/>
  <c r="U53" i="82"/>
  <c r="V53" i="82"/>
  <c r="X15" i="82" a="1"/>
  <c r="X15" i="82"/>
  <c r="X16" i="82" a="1"/>
  <c r="X16" i="82"/>
  <c r="X17" i="82" a="1"/>
  <c r="X18" i="82" a="1"/>
  <c r="X19" i="82" a="1"/>
  <c r="X20" i="82" a="1"/>
  <c r="X21" i="82" a="1"/>
  <c r="X22" i="82" a="1"/>
  <c r="X23" i="82" a="1"/>
  <c r="X24" i="82" a="1"/>
  <c r="X25" i="82" a="1"/>
  <c r="X26" i="82" a="1"/>
  <c r="X27" i="82" a="1"/>
  <c r="X28" i="82" a="1"/>
  <c r="X29" i="82" a="1"/>
  <c r="X30" i="82" a="1"/>
  <c r="X31" i="82" a="1"/>
  <c r="X32" i="82" a="1"/>
  <c r="X33" i="82" a="1"/>
  <c r="X34" i="82" a="1"/>
  <c r="X35" i="82" a="1"/>
  <c r="X36" i="82" a="1"/>
  <c r="X37" i="82" a="1"/>
  <c r="X38" i="82" a="1"/>
  <c r="X39" i="82" a="1"/>
  <c r="X40" i="82" a="1"/>
  <c r="X41" i="82" a="1"/>
  <c r="X42" i="82" a="1"/>
  <c r="X43" i="82" a="1"/>
  <c r="X17" i="82"/>
  <c r="X18" i="82"/>
  <c r="X19" i="82"/>
  <c r="X20" i="82"/>
  <c r="X21" i="82"/>
  <c r="X22" i="82"/>
  <c r="X23" i="82"/>
  <c r="X24" i="82"/>
  <c r="X25" i="82"/>
  <c r="X26" i="82"/>
  <c r="X27" i="82"/>
  <c r="X28" i="82"/>
  <c r="X29" i="82"/>
  <c r="X30" i="82"/>
  <c r="X31" i="82"/>
  <c r="X32" i="82"/>
  <c r="X33" i="82"/>
  <c r="X34" i="82"/>
  <c r="X35" i="82"/>
  <c r="X36" i="82"/>
  <c r="X37" i="82"/>
  <c r="X38" i="82"/>
  <c r="X39" i="82"/>
  <c r="X40" i="82"/>
  <c r="X41" i="82"/>
  <c r="X42" i="82"/>
  <c r="X43" i="82"/>
  <c r="X53" i="82"/>
  <c r="Y15" i="82" a="1"/>
  <c r="Y15" i="82"/>
  <c r="Y16" i="82" a="1"/>
  <c r="Y16" i="82"/>
  <c r="Y17" i="82" a="1"/>
  <c r="Y18" i="82" a="1"/>
  <c r="Y19" i="82" a="1"/>
  <c r="Y20" i="82" a="1"/>
  <c r="Y21" i="82" a="1"/>
  <c r="Y22" i="82" a="1"/>
  <c r="Y23" i="82" a="1"/>
  <c r="Y24" i="82" a="1"/>
  <c r="Y25" i="82" a="1"/>
  <c r="Y26" i="82" a="1"/>
  <c r="Y27" i="82" a="1"/>
  <c r="Y28" i="82" a="1"/>
  <c r="Y29" i="82" a="1"/>
  <c r="Y30" i="82" a="1"/>
  <c r="Y31" i="82" a="1"/>
  <c r="Y32" i="82" a="1"/>
  <c r="Y33" i="82" a="1"/>
  <c r="Y34" i="82" a="1"/>
  <c r="Y35" i="82" a="1"/>
  <c r="Y36" i="82" a="1"/>
  <c r="Y37" i="82" a="1"/>
  <c r="Y38" i="82" a="1"/>
  <c r="Y39" i="82" a="1"/>
  <c r="Y40" i="82" a="1"/>
  <c r="Y41" i="82" a="1"/>
  <c r="Y42" i="82" a="1"/>
  <c r="Y43" i="82" a="1"/>
  <c r="Y17" i="82"/>
  <c r="Y18" i="82"/>
  <c r="Y19" i="82"/>
  <c r="Y20" i="82"/>
  <c r="Y21" i="82"/>
  <c r="Y22" i="82"/>
  <c r="Y23" i="82"/>
  <c r="Y24" i="82"/>
  <c r="Y25" i="82"/>
  <c r="Y26" i="82"/>
  <c r="Y27" i="82"/>
  <c r="Y28" i="82"/>
  <c r="Y29" i="82"/>
  <c r="Y30" i="82"/>
  <c r="Y31" i="82"/>
  <c r="Y32" i="82"/>
  <c r="Y33" i="82"/>
  <c r="Y34" i="82"/>
  <c r="Y35" i="82"/>
  <c r="Y36" i="82"/>
  <c r="Y37" i="82"/>
  <c r="Y38" i="82"/>
  <c r="Y39" i="82"/>
  <c r="Y40" i="82"/>
  <c r="Y41" i="82"/>
  <c r="Y42" i="82"/>
  <c r="Y43" i="82"/>
  <c r="Y53" i="82"/>
  <c r="B13" i="82"/>
  <c r="H78" i="82"/>
  <c r="H81" i="82"/>
  <c r="H82" i="82"/>
  <c r="H83" i="82"/>
  <c r="H84" i="82"/>
  <c r="H105" i="82"/>
  <c r="H108" i="82"/>
  <c r="H109" i="82"/>
  <c r="H110" i="82"/>
  <c r="H111" i="82"/>
  <c r="H79" i="82"/>
  <c r="H80" i="82"/>
  <c r="H87" i="82"/>
  <c r="H88" i="82"/>
  <c r="H89" i="82"/>
  <c r="H90" i="82"/>
  <c r="H91" i="82"/>
  <c r="H92" i="82"/>
  <c r="H93" i="82"/>
  <c r="H94" i="82"/>
  <c r="H95" i="82"/>
  <c r="H96" i="82"/>
  <c r="H97" i="82"/>
  <c r="H98" i="82"/>
  <c r="H99" i="82"/>
  <c r="H100" i="82"/>
  <c r="H101" i="82"/>
  <c r="H102" i="82"/>
  <c r="H103" i="82"/>
  <c r="H106" i="82"/>
  <c r="H107" i="82"/>
  <c r="K53" i="82"/>
  <c r="Q14" i="82"/>
  <c r="Q15" i="82"/>
  <c r="Q16" i="82"/>
  <c r="Q17" i="82"/>
  <c r="Q18" i="82"/>
  <c r="Q19" i="82"/>
  <c r="Q20" i="82"/>
  <c r="Q21" i="82"/>
  <c r="Q22" i="82"/>
  <c r="Q23" i="82"/>
  <c r="Q24" i="82"/>
  <c r="Q25" i="82"/>
  <c r="Q26" i="82"/>
  <c r="Q27" i="82"/>
  <c r="Q28" i="82"/>
  <c r="Q29" i="82"/>
  <c r="Q30" i="82"/>
  <c r="Q31" i="82"/>
  <c r="Q32" i="82"/>
  <c r="Q33" i="82"/>
  <c r="Q34" i="82"/>
  <c r="Q35" i="82"/>
  <c r="Q36" i="82"/>
  <c r="Q37" i="82"/>
  <c r="Q38" i="82"/>
  <c r="Q39" i="82"/>
  <c r="Q40" i="82"/>
  <c r="Q41" i="82"/>
  <c r="Q42" i="82"/>
  <c r="Q43" i="82"/>
  <c r="R14" i="82"/>
  <c r="R15" i="82"/>
  <c r="R16" i="82"/>
  <c r="R17" i="82"/>
  <c r="R18" i="82"/>
  <c r="R19" i="82"/>
  <c r="R20" i="82"/>
  <c r="R21" i="82"/>
  <c r="R22" i="82"/>
  <c r="R23" i="82"/>
  <c r="R24" i="82"/>
  <c r="R25" i="82"/>
  <c r="R26" i="82"/>
  <c r="R27" i="82"/>
  <c r="R28" i="82"/>
  <c r="R29" i="82"/>
  <c r="R30" i="82"/>
  <c r="R31" i="82"/>
  <c r="R32" i="82"/>
  <c r="R33" i="82"/>
  <c r="R34" i="82"/>
  <c r="R35" i="82"/>
  <c r="R36" i="82"/>
  <c r="R37" i="82"/>
  <c r="R38" i="82"/>
  <c r="R39" i="82"/>
  <c r="R40" i="82"/>
  <c r="R41" i="82"/>
  <c r="R42" i="82"/>
  <c r="R43" i="82"/>
  <c r="K57" i="82"/>
  <c r="L58" i="82"/>
  <c r="L51" i="82"/>
  <c r="H8" i="80"/>
  <c r="D55" i="87"/>
  <c r="D56" i="87"/>
  <c r="D57" i="87"/>
  <c r="L74" i="87"/>
  <c r="H8" i="87"/>
  <c r="E13" i="87"/>
  <c r="AB14" i="87"/>
  <c r="AB15" i="87"/>
  <c r="AB16" i="87"/>
  <c r="AB17" i="87"/>
  <c r="AB18" i="87"/>
  <c r="AB19" i="87"/>
  <c r="AB20" i="87"/>
  <c r="AB21" i="87"/>
  <c r="AB22" i="87"/>
  <c r="AB23" i="87"/>
  <c r="AB24" i="87"/>
  <c r="AB25" i="87"/>
  <c r="AB26" i="87"/>
  <c r="AB27" i="87"/>
  <c r="AB28" i="87"/>
  <c r="AB29" i="87"/>
  <c r="AB30" i="87"/>
  <c r="AB31" i="87"/>
  <c r="AB32" i="87"/>
  <c r="AB33" i="87"/>
  <c r="AB34" i="87"/>
  <c r="AB35" i="87"/>
  <c r="AB36" i="87"/>
  <c r="AB37" i="87"/>
  <c r="AB38" i="87"/>
  <c r="AB39" i="87"/>
  <c r="AB40" i="87"/>
  <c r="AB41" i="87"/>
  <c r="AB42" i="87"/>
  <c r="AB43" i="87"/>
  <c r="AB44" i="87"/>
  <c r="D13" i="87"/>
  <c r="M13" i="87"/>
  <c r="L13" i="87"/>
  <c r="L14" i="87"/>
  <c r="K14" i="87"/>
  <c r="T14" i="87"/>
  <c r="U15" i="87" a="1"/>
  <c r="U15" i="87"/>
  <c r="L15" i="87"/>
  <c r="K15" i="87"/>
  <c r="T15" i="87"/>
  <c r="U16" i="87" a="1"/>
  <c r="U16" i="87"/>
  <c r="L16" i="87"/>
  <c r="K16" i="87"/>
  <c r="T16" i="87"/>
  <c r="U17" i="87" a="1"/>
  <c r="L17" i="87"/>
  <c r="K17" i="87"/>
  <c r="T17" i="87"/>
  <c r="U18" i="87" a="1"/>
  <c r="L18" i="87"/>
  <c r="K18" i="87"/>
  <c r="T18" i="87"/>
  <c r="U19" i="87" a="1"/>
  <c r="L19" i="87"/>
  <c r="K19" i="87"/>
  <c r="T19" i="87"/>
  <c r="U20" i="87" a="1"/>
  <c r="L20" i="87"/>
  <c r="K20" i="87"/>
  <c r="T20" i="87"/>
  <c r="U21" i="87" a="1"/>
  <c r="L21" i="87"/>
  <c r="K21" i="87"/>
  <c r="T21" i="87"/>
  <c r="U22" i="87" a="1"/>
  <c r="L22" i="87"/>
  <c r="K22" i="87"/>
  <c r="T22" i="87"/>
  <c r="U23" i="87" a="1"/>
  <c r="L23" i="87"/>
  <c r="K23" i="87"/>
  <c r="T23" i="87"/>
  <c r="U24" i="87" a="1"/>
  <c r="L24" i="87"/>
  <c r="K24" i="87"/>
  <c r="T24" i="87"/>
  <c r="U25" i="87" a="1"/>
  <c r="L25" i="87"/>
  <c r="K25" i="87"/>
  <c r="T25" i="87"/>
  <c r="U26" i="87" a="1"/>
  <c r="L26" i="87"/>
  <c r="K26" i="87"/>
  <c r="T26" i="87"/>
  <c r="U27" i="87" a="1"/>
  <c r="L27" i="87"/>
  <c r="K27" i="87"/>
  <c r="T27" i="87"/>
  <c r="U28" i="87" a="1"/>
  <c r="L28" i="87"/>
  <c r="K28" i="87"/>
  <c r="T28" i="87"/>
  <c r="U29" i="87" a="1"/>
  <c r="L29" i="87"/>
  <c r="K29" i="87"/>
  <c r="T29" i="87"/>
  <c r="U30" i="87" a="1"/>
  <c r="L30" i="87"/>
  <c r="K30" i="87"/>
  <c r="T30" i="87"/>
  <c r="U31" i="87" a="1"/>
  <c r="L31" i="87"/>
  <c r="K31" i="87"/>
  <c r="T31" i="87"/>
  <c r="U32" i="87" a="1"/>
  <c r="L32" i="87"/>
  <c r="K32" i="87"/>
  <c r="T32" i="87"/>
  <c r="U33" i="87" a="1"/>
  <c r="L33" i="87"/>
  <c r="K33" i="87"/>
  <c r="T33" i="87"/>
  <c r="U34" i="87" a="1"/>
  <c r="L34" i="87"/>
  <c r="K34" i="87"/>
  <c r="T34" i="87"/>
  <c r="U35" i="87" a="1"/>
  <c r="L35" i="87"/>
  <c r="K35" i="87"/>
  <c r="T35" i="87"/>
  <c r="U36" i="87" a="1"/>
  <c r="L36" i="87"/>
  <c r="K36" i="87"/>
  <c r="T36" i="87"/>
  <c r="U37" i="87" a="1"/>
  <c r="L37" i="87"/>
  <c r="K37" i="87"/>
  <c r="T37" i="87"/>
  <c r="U38" i="87" a="1"/>
  <c r="L38" i="87"/>
  <c r="K38" i="87"/>
  <c r="T38" i="87"/>
  <c r="U39" i="87" a="1"/>
  <c r="L39" i="87"/>
  <c r="K39" i="87"/>
  <c r="T39" i="87"/>
  <c r="U40" i="87" a="1"/>
  <c r="L40" i="87"/>
  <c r="K40" i="87"/>
  <c r="T40" i="87"/>
  <c r="U41" i="87" a="1"/>
  <c r="L41" i="87"/>
  <c r="K41" i="87"/>
  <c r="T41" i="87"/>
  <c r="U42" i="87" a="1"/>
  <c r="L42" i="87"/>
  <c r="K42" i="87"/>
  <c r="T42" i="87"/>
  <c r="U43" i="87" a="1"/>
  <c r="L43" i="87"/>
  <c r="K43" i="87"/>
  <c r="T43" i="87"/>
  <c r="U44" i="87" a="1"/>
  <c r="U17" i="87"/>
  <c r="U18" i="87"/>
  <c r="U19" i="87"/>
  <c r="U20" i="87"/>
  <c r="U21" i="87"/>
  <c r="U22" i="87"/>
  <c r="U23" i="87"/>
  <c r="U24" i="87"/>
  <c r="U25" i="87"/>
  <c r="U26" i="87"/>
  <c r="U27" i="87"/>
  <c r="U28" i="87"/>
  <c r="U29" i="87"/>
  <c r="U30" i="87"/>
  <c r="U31" i="87"/>
  <c r="U32" i="87"/>
  <c r="U33" i="87"/>
  <c r="U34" i="87"/>
  <c r="U35" i="87"/>
  <c r="U36" i="87"/>
  <c r="U37" i="87"/>
  <c r="U38" i="87"/>
  <c r="U39" i="87"/>
  <c r="U40" i="87"/>
  <c r="U41" i="87"/>
  <c r="U42" i="87"/>
  <c r="U43" i="87"/>
  <c r="U44" i="87"/>
  <c r="V15" i="87" a="1"/>
  <c r="V15" i="87"/>
  <c r="V16" i="87" a="1"/>
  <c r="V16" i="87"/>
  <c r="V17" i="87" a="1"/>
  <c r="V18" i="87" a="1"/>
  <c r="V19" i="87" a="1"/>
  <c r="V20" i="87" a="1"/>
  <c r="V21" i="87" a="1"/>
  <c r="V22" i="87" a="1"/>
  <c r="V23" i="87" a="1"/>
  <c r="V24" i="87" a="1"/>
  <c r="V25" i="87" a="1"/>
  <c r="V26" i="87" a="1"/>
  <c r="V27" i="87" a="1"/>
  <c r="V28" i="87" a="1"/>
  <c r="V29" i="87" a="1"/>
  <c r="V30" i="87" a="1"/>
  <c r="V31" i="87" a="1"/>
  <c r="V32" i="87" a="1"/>
  <c r="V33" i="87" a="1"/>
  <c r="V34" i="87" a="1"/>
  <c r="V35" i="87" a="1"/>
  <c r="V36" i="87" a="1"/>
  <c r="V37" i="87" a="1"/>
  <c r="V38" i="87" a="1"/>
  <c r="V39" i="87" a="1"/>
  <c r="V40" i="87" a="1"/>
  <c r="V41" i="87" a="1"/>
  <c r="V42" i="87" a="1"/>
  <c r="V43" i="87" a="1"/>
  <c r="L44" i="87"/>
  <c r="K44" i="87"/>
  <c r="T44" i="87"/>
  <c r="V44" i="87" a="1"/>
  <c r="V17" i="87"/>
  <c r="V18" i="87"/>
  <c r="V19" i="87"/>
  <c r="V20" i="87"/>
  <c r="V21" i="87"/>
  <c r="V22" i="87"/>
  <c r="V23" i="87"/>
  <c r="V24" i="87"/>
  <c r="V25" i="87"/>
  <c r="V26" i="87"/>
  <c r="V27" i="87"/>
  <c r="V28" i="87"/>
  <c r="V29" i="87"/>
  <c r="V30" i="87"/>
  <c r="V31" i="87"/>
  <c r="V32" i="87"/>
  <c r="V33" i="87"/>
  <c r="V34" i="87"/>
  <c r="V35" i="87"/>
  <c r="V36" i="87"/>
  <c r="V37" i="87"/>
  <c r="V38" i="87"/>
  <c r="V39" i="87"/>
  <c r="V40" i="87"/>
  <c r="V41" i="87"/>
  <c r="V42" i="87"/>
  <c r="V43" i="87"/>
  <c r="V44" i="87"/>
  <c r="W15" i="87" a="1"/>
  <c r="W15" i="87"/>
  <c r="W16" i="87" a="1"/>
  <c r="W16" i="87"/>
  <c r="W17" i="87" a="1"/>
  <c r="W18" i="87" a="1"/>
  <c r="W19" i="87" a="1"/>
  <c r="W20" i="87" a="1"/>
  <c r="W21" i="87" a="1"/>
  <c r="W22" i="87" a="1"/>
  <c r="W23" i="87" a="1"/>
  <c r="W24" i="87" a="1"/>
  <c r="W25" i="87" a="1"/>
  <c r="W26" i="87" a="1"/>
  <c r="W27" i="87" a="1"/>
  <c r="W28" i="87" a="1"/>
  <c r="W29" i="87" a="1"/>
  <c r="W30" i="87" a="1"/>
  <c r="W31" i="87" a="1"/>
  <c r="W32" i="87" a="1"/>
  <c r="W33" i="87" a="1"/>
  <c r="W34" i="87" a="1"/>
  <c r="W35" i="87" a="1"/>
  <c r="W36" i="87" a="1"/>
  <c r="W37" i="87" a="1"/>
  <c r="W38" i="87" a="1"/>
  <c r="W39" i="87" a="1"/>
  <c r="W40" i="87" a="1"/>
  <c r="W41" i="87" a="1"/>
  <c r="W42" i="87" a="1"/>
  <c r="W43" i="87" a="1"/>
  <c r="W44" i="87" a="1"/>
  <c r="W17" i="87"/>
  <c r="W18" i="87"/>
  <c r="W19" i="87"/>
  <c r="W20" i="87"/>
  <c r="W21" i="87"/>
  <c r="W22" i="87"/>
  <c r="W23" i="87"/>
  <c r="W24" i="87"/>
  <c r="W25" i="87"/>
  <c r="W26" i="87"/>
  <c r="W27" i="87"/>
  <c r="W28" i="87"/>
  <c r="W29" i="87"/>
  <c r="W30" i="87"/>
  <c r="W31" i="87"/>
  <c r="W32" i="87"/>
  <c r="W33" i="87"/>
  <c r="W34" i="87"/>
  <c r="W35" i="87"/>
  <c r="W36" i="87"/>
  <c r="W37" i="87"/>
  <c r="W38" i="87"/>
  <c r="W39" i="87"/>
  <c r="W40" i="87"/>
  <c r="W41" i="87"/>
  <c r="W42" i="87"/>
  <c r="W43" i="87"/>
  <c r="W44" i="87"/>
  <c r="W51" i="87"/>
  <c r="AH14" i="87"/>
  <c r="AH15" i="87"/>
  <c r="AH16" i="87"/>
  <c r="AH17" i="87"/>
  <c r="AH18" i="87"/>
  <c r="AH19" i="87"/>
  <c r="AH20" i="87"/>
  <c r="AH21" i="87"/>
  <c r="AH22" i="87"/>
  <c r="AH23" i="87"/>
  <c r="AH24" i="87"/>
  <c r="AH25" i="87"/>
  <c r="AH26" i="87"/>
  <c r="AH27" i="87"/>
  <c r="AH28" i="87"/>
  <c r="AH29" i="87"/>
  <c r="AH30" i="87"/>
  <c r="AH31" i="87"/>
  <c r="AH32" i="87"/>
  <c r="AH33" i="87"/>
  <c r="AH34" i="87"/>
  <c r="AH35" i="87"/>
  <c r="AH36" i="87"/>
  <c r="AH37" i="87"/>
  <c r="AH38" i="87"/>
  <c r="AH39" i="87"/>
  <c r="AH40" i="87"/>
  <c r="AH41" i="87"/>
  <c r="AH42" i="87"/>
  <c r="AH43" i="87"/>
  <c r="AH44" i="87"/>
  <c r="L63" i="87"/>
  <c r="L62" i="87"/>
  <c r="AF15" i="87"/>
  <c r="AG15" i="87"/>
  <c r="AF16" i="87"/>
  <c r="AG16" i="87"/>
  <c r="AF17" i="87"/>
  <c r="AG17" i="87"/>
  <c r="AF18" i="87"/>
  <c r="AG18" i="87"/>
  <c r="AF19" i="87"/>
  <c r="AG19" i="87"/>
  <c r="AF20" i="87"/>
  <c r="AG20" i="87"/>
  <c r="AF21" i="87"/>
  <c r="AG21" i="87"/>
  <c r="AF22" i="87"/>
  <c r="AG22" i="87"/>
  <c r="AF23" i="87"/>
  <c r="AG23" i="87"/>
  <c r="AF24" i="87"/>
  <c r="AG24" i="87"/>
  <c r="AF25" i="87"/>
  <c r="AG25" i="87"/>
  <c r="AF26" i="87"/>
  <c r="AG26" i="87"/>
  <c r="AF27" i="87"/>
  <c r="AG27" i="87"/>
  <c r="AF28" i="87"/>
  <c r="AG28" i="87"/>
  <c r="AF29" i="87"/>
  <c r="AG29" i="87"/>
  <c r="AF30" i="87"/>
  <c r="AG30" i="87"/>
  <c r="AF31" i="87"/>
  <c r="AG31" i="87"/>
  <c r="AF32" i="87"/>
  <c r="AG32" i="87"/>
  <c r="AF33" i="87"/>
  <c r="AG33" i="87"/>
  <c r="AF34" i="87"/>
  <c r="AG34" i="87"/>
  <c r="AF35" i="87"/>
  <c r="AG35" i="87"/>
  <c r="AF36" i="87"/>
  <c r="AG36" i="87"/>
  <c r="AF37" i="87"/>
  <c r="AG37" i="87"/>
  <c r="AF38" i="87"/>
  <c r="AG38" i="87"/>
  <c r="AF39" i="87"/>
  <c r="AG39" i="87"/>
  <c r="AF40" i="87"/>
  <c r="AG40" i="87"/>
  <c r="AF41" i="87"/>
  <c r="AG41" i="87"/>
  <c r="AF42" i="87"/>
  <c r="AG42" i="87"/>
  <c r="AF43" i="87"/>
  <c r="AG43" i="87"/>
  <c r="AF44" i="87"/>
  <c r="AG44" i="87"/>
  <c r="AF14" i="87"/>
  <c r="AG14" i="87"/>
  <c r="K52" i="87"/>
  <c r="U53" i="87"/>
  <c r="V53" i="87"/>
  <c r="X15" i="87" a="1"/>
  <c r="X15" i="87"/>
  <c r="X16" i="87" a="1"/>
  <c r="X16" i="87"/>
  <c r="X17" i="87" a="1"/>
  <c r="X18" i="87" a="1"/>
  <c r="X19" i="87" a="1"/>
  <c r="X20" i="87" a="1"/>
  <c r="X21" i="87" a="1"/>
  <c r="X22" i="87" a="1"/>
  <c r="X23" i="87" a="1"/>
  <c r="X24" i="87" a="1"/>
  <c r="X25" i="87" a="1"/>
  <c r="X26" i="87" a="1"/>
  <c r="X27" i="87" a="1"/>
  <c r="X28" i="87" a="1"/>
  <c r="X29" i="87" a="1"/>
  <c r="X30" i="87" a="1"/>
  <c r="X31" i="87" a="1"/>
  <c r="X32" i="87" a="1"/>
  <c r="X33" i="87" a="1"/>
  <c r="X34" i="87" a="1"/>
  <c r="X35" i="87" a="1"/>
  <c r="X36" i="87" a="1"/>
  <c r="X37" i="87" a="1"/>
  <c r="X38" i="87" a="1"/>
  <c r="X39" i="87" a="1"/>
  <c r="X40" i="87" a="1"/>
  <c r="X41" i="87" a="1"/>
  <c r="X42" i="87" a="1"/>
  <c r="X43" i="87" a="1"/>
  <c r="X44" i="87" a="1"/>
  <c r="X17" i="87"/>
  <c r="X18" i="87"/>
  <c r="X19" i="87"/>
  <c r="X20" i="87"/>
  <c r="X21" i="87"/>
  <c r="X22" i="87"/>
  <c r="X23" i="87"/>
  <c r="X24" i="87"/>
  <c r="X25" i="87"/>
  <c r="X26" i="87"/>
  <c r="X27" i="87"/>
  <c r="X28" i="87"/>
  <c r="X29" i="87"/>
  <c r="X30" i="87"/>
  <c r="X31" i="87"/>
  <c r="X32" i="87"/>
  <c r="X33" i="87"/>
  <c r="X34" i="87"/>
  <c r="X35" i="87"/>
  <c r="X36" i="87"/>
  <c r="X37" i="87"/>
  <c r="X38" i="87"/>
  <c r="X39" i="87"/>
  <c r="X40" i="87"/>
  <c r="X41" i="87"/>
  <c r="X42" i="87"/>
  <c r="X43" i="87"/>
  <c r="X44" i="87"/>
  <c r="X53" i="87"/>
  <c r="Y15" i="87" a="1"/>
  <c r="Y15" i="87"/>
  <c r="Y16" i="87" a="1"/>
  <c r="Y16" i="87"/>
  <c r="Y17" i="87" a="1"/>
  <c r="Y18" i="87" a="1"/>
  <c r="Y19" i="87" a="1"/>
  <c r="Y20" i="87" a="1"/>
  <c r="Y21" i="87" a="1"/>
  <c r="Y22" i="87" a="1"/>
  <c r="Y23" i="87" a="1"/>
  <c r="Y24" i="87" a="1"/>
  <c r="Y25" i="87" a="1"/>
  <c r="Y26" i="87" a="1"/>
  <c r="Y27" i="87" a="1"/>
  <c r="Y28" i="87" a="1"/>
  <c r="Y29" i="87" a="1"/>
  <c r="Y30" i="87" a="1"/>
  <c r="Y31" i="87" a="1"/>
  <c r="Y32" i="87" a="1"/>
  <c r="Y33" i="87" a="1"/>
  <c r="Y34" i="87" a="1"/>
  <c r="Y35" i="87" a="1"/>
  <c r="Y36" i="87" a="1"/>
  <c r="Y37" i="87" a="1"/>
  <c r="Y38" i="87" a="1"/>
  <c r="Y39" i="87" a="1"/>
  <c r="Y40" i="87" a="1"/>
  <c r="Y41" i="87" a="1"/>
  <c r="Y42" i="87" a="1"/>
  <c r="Y43" i="87" a="1"/>
  <c r="Y44" i="87" a="1"/>
  <c r="Y17" i="87"/>
  <c r="Y18" i="87"/>
  <c r="Y19" i="87"/>
  <c r="Y20" i="87"/>
  <c r="Y21" i="87"/>
  <c r="Y22" i="87"/>
  <c r="Y23" i="87"/>
  <c r="Y24" i="87"/>
  <c r="Y25" i="87"/>
  <c r="Y26" i="87"/>
  <c r="Y27" i="87"/>
  <c r="Y28" i="87"/>
  <c r="Y29" i="87"/>
  <c r="Y30" i="87"/>
  <c r="Y31" i="87"/>
  <c r="Y32" i="87"/>
  <c r="Y33" i="87"/>
  <c r="Y34" i="87"/>
  <c r="Y35" i="87"/>
  <c r="Y36" i="87"/>
  <c r="Y37" i="87"/>
  <c r="Y38" i="87"/>
  <c r="Y39" i="87"/>
  <c r="Y40" i="87"/>
  <c r="Y41" i="87"/>
  <c r="Y42" i="87"/>
  <c r="Y43" i="87"/>
  <c r="Y44" i="87"/>
  <c r="Y53" i="87"/>
  <c r="B13" i="87"/>
  <c r="H78" i="87"/>
  <c r="H81" i="87"/>
  <c r="H82" i="87"/>
  <c r="H83" i="87"/>
  <c r="H84" i="87"/>
  <c r="H105" i="87"/>
  <c r="H108" i="87"/>
  <c r="H109" i="87"/>
  <c r="H110" i="87"/>
  <c r="H111" i="87"/>
  <c r="H79" i="87"/>
  <c r="H80" i="87"/>
  <c r="H87" i="87"/>
  <c r="H88" i="87"/>
  <c r="H89" i="87"/>
  <c r="H90" i="87"/>
  <c r="H91" i="87"/>
  <c r="H92" i="87"/>
  <c r="H93" i="87"/>
  <c r="H94" i="87"/>
  <c r="H95" i="87"/>
  <c r="H96" i="87"/>
  <c r="H97" i="87"/>
  <c r="H98" i="87"/>
  <c r="H99" i="87"/>
  <c r="H100" i="87"/>
  <c r="H101" i="87"/>
  <c r="H102" i="87"/>
  <c r="H103" i="87"/>
  <c r="H106" i="87"/>
  <c r="H107" i="87"/>
  <c r="K53" i="87"/>
  <c r="Q14" i="87"/>
  <c r="Q15" i="87"/>
  <c r="Q16" i="87"/>
  <c r="Q17" i="87"/>
  <c r="Q18" i="87"/>
  <c r="Q19" i="87"/>
  <c r="Q20" i="87"/>
  <c r="Q21" i="87"/>
  <c r="Q22" i="87"/>
  <c r="Q23" i="87"/>
  <c r="Q24" i="87"/>
  <c r="Q25" i="87"/>
  <c r="Q26" i="87"/>
  <c r="Q27" i="87"/>
  <c r="Q28" i="87"/>
  <c r="Q29" i="87"/>
  <c r="Q30" i="87"/>
  <c r="Q31" i="87"/>
  <c r="Q32" i="87"/>
  <c r="Q33" i="87"/>
  <c r="Q34" i="87"/>
  <c r="Q35" i="87"/>
  <c r="Q36" i="87"/>
  <c r="Q37" i="87"/>
  <c r="Q38" i="87"/>
  <c r="Q39" i="87"/>
  <c r="Q40" i="87"/>
  <c r="Q41" i="87"/>
  <c r="Q42" i="87"/>
  <c r="Q43" i="87"/>
  <c r="Q44" i="87"/>
  <c r="R14" i="87"/>
  <c r="R15" i="87"/>
  <c r="R16" i="87"/>
  <c r="R17" i="87"/>
  <c r="R18" i="87"/>
  <c r="R19" i="87"/>
  <c r="R20" i="87"/>
  <c r="R21" i="87"/>
  <c r="R22" i="87"/>
  <c r="R23" i="87"/>
  <c r="R24" i="87"/>
  <c r="R25" i="87"/>
  <c r="R26" i="87"/>
  <c r="R27" i="87"/>
  <c r="R28" i="87"/>
  <c r="R29" i="87"/>
  <c r="R30" i="87"/>
  <c r="R31" i="87"/>
  <c r="R32" i="87"/>
  <c r="R33" i="87"/>
  <c r="R34" i="87"/>
  <c r="R35" i="87"/>
  <c r="R36" i="87"/>
  <c r="R37" i="87"/>
  <c r="R38" i="87"/>
  <c r="R39" i="87"/>
  <c r="R40" i="87"/>
  <c r="R41" i="87"/>
  <c r="R42" i="87"/>
  <c r="R43" i="87"/>
  <c r="R44" i="87"/>
  <c r="K57" i="87"/>
  <c r="L58" i="87"/>
  <c r="L51" i="87"/>
  <c r="D55" i="81"/>
  <c r="D56" i="81"/>
  <c r="D57" i="81"/>
  <c r="L74" i="81"/>
  <c r="H8" i="81"/>
  <c r="E13" i="81"/>
  <c r="AB14" i="81"/>
  <c r="AB15" i="81"/>
  <c r="AB16" i="81"/>
  <c r="AB17" i="81"/>
  <c r="AB18" i="81"/>
  <c r="AB19" i="81"/>
  <c r="AB20" i="81"/>
  <c r="AB21" i="81"/>
  <c r="AB22" i="81"/>
  <c r="AB23" i="81"/>
  <c r="AB24" i="81"/>
  <c r="AB25" i="81"/>
  <c r="AB26" i="81"/>
  <c r="AB27" i="81"/>
  <c r="AB28" i="81"/>
  <c r="AB29" i="81"/>
  <c r="AB30" i="81"/>
  <c r="AB31" i="81"/>
  <c r="AB32" i="81"/>
  <c r="AB33" i="81"/>
  <c r="AB34" i="81"/>
  <c r="AB35" i="81"/>
  <c r="AB36" i="81"/>
  <c r="AB37" i="81"/>
  <c r="AB38" i="81"/>
  <c r="AB39" i="81"/>
  <c r="AB40" i="81"/>
  <c r="AB41" i="81"/>
  <c r="AB42" i="81"/>
  <c r="AB43" i="81"/>
  <c r="AB44" i="81"/>
  <c r="D13" i="81"/>
  <c r="M13" i="81"/>
  <c r="L13" i="81"/>
  <c r="L14" i="81"/>
  <c r="K14" i="81"/>
  <c r="T14" i="81"/>
  <c r="U15" i="81" a="1"/>
  <c r="U15" i="81"/>
  <c r="L15" i="81"/>
  <c r="K15" i="81"/>
  <c r="T15" i="81"/>
  <c r="U16" i="81" a="1"/>
  <c r="U16" i="81"/>
  <c r="L16" i="81"/>
  <c r="K16" i="81"/>
  <c r="T16" i="81"/>
  <c r="U17" i="81" a="1"/>
  <c r="L17" i="81"/>
  <c r="K17" i="81"/>
  <c r="T17" i="81"/>
  <c r="U18" i="81" a="1"/>
  <c r="L18" i="81"/>
  <c r="K18" i="81"/>
  <c r="T18" i="81"/>
  <c r="U19" i="81" a="1"/>
  <c r="L19" i="81"/>
  <c r="K19" i="81"/>
  <c r="T19" i="81"/>
  <c r="U20" i="81" a="1"/>
  <c r="L20" i="81"/>
  <c r="K20" i="81"/>
  <c r="T20" i="81"/>
  <c r="U21" i="81" a="1"/>
  <c r="L21" i="81"/>
  <c r="K21" i="81"/>
  <c r="T21" i="81"/>
  <c r="U22" i="81" a="1"/>
  <c r="L22" i="81"/>
  <c r="K22" i="81"/>
  <c r="T22" i="81"/>
  <c r="U23" i="81" a="1"/>
  <c r="L23" i="81"/>
  <c r="K23" i="81"/>
  <c r="T23" i="81"/>
  <c r="U24" i="81" a="1"/>
  <c r="L24" i="81"/>
  <c r="K24" i="81"/>
  <c r="T24" i="81"/>
  <c r="U25" i="81" a="1"/>
  <c r="L25" i="81"/>
  <c r="K25" i="81"/>
  <c r="T25" i="81"/>
  <c r="U26" i="81" a="1"/>
  <c r="L26" i="81"/>
  <c r="K26" i="81"/>
  <c r="T26" i="81"/>
  <c r="U27" i="81" a="1"/>
  <c r="L27" i="81"/>
  <c r="K27" i="81"/>
  <c r="T27" i="81"/>
  <c r="U28" i="81" a="1"/>
  <c r="L28" i="81"/>
  <c r="K28" i="81"/>
  <c r="T28" i="81"/>
  <c r="U29" i="81" a="1"/>
  <c r="L29" i="81"/>
  <c r="K29" i="81"/>
  <c r="T29" i="81"/>
  <c r="U30" i="81" a="1"/>
  <c r="L30" i="81"/>
  <c r="K30" i="81"/>
  <c r="T30" i="81"/>
  <c r="U31" i="81" a="1"/>
  <c r="L31" i="81"/>
  <c r="K31" i="81"/>
  <c r="T31" i="81"/>
  <c r="U32" i="81" a="1"/>
  <c r="L32" i="81"/>
  <c r="K32" i="81"/>
  <c r="T32" i="81"/>
  <c r="U33" i="81" a="1"/>
  <c r="L33" i="81"/>
  <c r="K33" i="81"/>
  <c r="T33" i="81"/>
  <c r="U34" i="81" a="1"/>
  <c r="L34" i="81"/>
  <c r="K34" i="81"/>
  <c r="T34" i="81"/>
  <c r="U35" i="81" a="1"/>
  <c r="L35" i="81"/>
  <c r="K35" i="81"/>
  <c r="T35" i="81"/>
  <c r="U36" i="81" a="1"/>
  <c r="L36" i="81"/>
  <c r="K36" i="81"/>
  <c r="T36" i="81"/>
  <c r="U37" i="81" a="1"/>
  <c r="L37" i="81"/>
  <c r="K37" i="81"/>
  <c r="T37" i="81"/>
  <c r="U38" i="81" a="1"/>
  <c r="L38" i="81"/>
  <c r="K38" i="81"/>
  <c r="T38" i="81"/>
  <c r="U39" i="81" a="1"/>
  <c r="L39" i="81"/>
  <c r="K39" i="81"/>
  <c r="T39" i="81"/>
  <c r="U40" i="81" a="1"/>
  <c r="L40" i="81"/>
  <c r="K40" i="81"/>
  <c r="T40" i="81"/>
  <c r="U41" i="81" a="1"/>
  <c r="L41" i="81"/>
  <c r="K41" i="81"/>
  <c r="T41" i="81"/>
  <c r="U42" i="81" a="1"/>
  <c r="L42" i="81"/>
  <c r="K42" i="81"/>
  <c r="T42" i="81"/>
  <c r="U43" i="81" a="1"/>
  <c r="L43" i="81"/>
  <c r="K43" i="81"/>
  <c r="T43" i="81"/>
  <c r="U44" i="81" a="1"/>
  <c r="U17" i="81"/>
  <c r="U18" i="81"/>
  <c r="U19" i="81"/>
  <c r="U20" i="81"/>
  <c r="U21" i="81"/>
  <c r="U22" i="81"/>
  <c r="U23" i="81"/>
  <c r="U24" i="81"/>
  <c r="U25" i="81"/>
  <c r="U26" i="81"/>
  <c r="U27" i="81"/>
  <c r="U28" i="81"/>
  <c r="U29" i="81"/>
  <c r="U30" i="81"/>
  <c r="U31" i="81"/>
  <c r="U32" i="81"/>
  <c r="U33" i="81"/>
  <c r="U34" i="81"/>
  <c r="U35" i="81"/>
  <c r="U36" i="81"/>
  <c r="U37" i="81"/>
  <c r="U38" i="81"/>
  <c r="U39" i="81"/>
  <c r="U40" i="81"/>
  <c r="U41" i="81"/>
  <c r="U42" i="81"/>
  <c r="U43" i="81"/>
  <c r="U44" i="81"/>
  <c r="V15" i="81" a="1"/>
  <c r="V15" i="81"/>
  <c r="V16" i="81" a="1"/>
  <c r="V16" i="81"/>
  <c r="V17" i="81" a="1"/>
  <c r="V18" i="81" a="1"/>
  <c r="V19" i="81" a="1"/>
  <c r="V20" i="81" a="1"/>
  <c r="V21" i="81" a="1"/>
  <c r="V22" i="81" a="1"/>
  <c r="V23" i="81" a="1"/>
  <c r="V24" i="81" a="1"/>
  <c r="V25" i="81" a="1"/>
  <c r="V26" i="81" a="1"/>
  <c r="V27" i="81" a="1"/>
  <c r="V28" i="81" a="1"/>
  <c r="V29" i="81" a="1"/>
  <c r="V30" i="81" a="1"/>
  <c r="V31" i="81" a="1"/>
  <c r="V32" i="81" a="1"/>
  <c r="V33" i="81" a="1"/>
  <c r="V34" i="81" a="1"/>
  <c r="V35" i="81" a="1"/>
  <c r="V36" i="81" a="1"/>
  <c r="V37" i="81" a="1"/>
  <c r="V38" i="81" a="1"/>
  <c r="V39" i="81" a="1"/>
  <c r="V40" i="81" a="1"/>
  <c r="V41" i="81" a="1"/>
  <c r="V42" i="81" a="1"/>
  <c r="V43" i="81" a="1"/>
  <c r="L44" i="81"/>
  <c r="K44" i="81"/>
  <c r="T44" i="81"/>
  <c r="V44" i="81" a="1"/>
  <c r="V17" i="81"/>
  <c r="V18" i="81"/>
  <c r="V19" i="81"/>
  <c r="V20" i="81"/>
  <c r="V21" i="81"/>
  <c r="V22" i="81"/>
  <c r="V23" i="81"/>
  <c r="V24" i="81"/>
  <c r="V25" i="81"/>
  <c r="V26" i="81"/>
  <c r="V27" i="81"/>
  <c r="V28" i="81"/>
  <c r="V29" i="81"/>
  <c r="V30" i="81"/>
  <c r="V31" i="81"/>
  <c r="V32" i="81"/>
  <c r="V33" i="81"/>
  <c r="V34" i="81"/>
  <c r="V35" i="81"/>
  <c r="V36" i="81"/>
  <c r="V37" i="81"/>
  <c r="V38" i="81"/>
  <c r="V39" i="81"/>
  <c r="V40" i="81"/>
  <c r="V41" i="81"/>
  <c r="V42" i="81"/>
  <c r="V43" i="81"/>
  <c r="V44" i="81"/>
  <c r="W15" i="81" a="1"/>
  <c r="W15" i="81"/>
  <c r="W16" i="81" a="1"/>
  <c r="W16" i="81"/>
  <c r="W17" i="81" a="1"/>
  <c r="W18" i="81" a="1"/>
  <c r="W19" i="81" a="1"/>
  <c r="W20" i="81" a="1"/>
  <c r="W21" i="81" a="1"/>
  <c r="W22" i="81" a="1"/>
  <c r="W23" i="81" a="1"/>
  <c r="W24" i="81" a="1"/>
  <c r="W25" i="81" a="1"/>
  <c r="W26" i="81" a="1"/>
  <c r="W27" i="81" a="1"/>
  <c r="W28" i="81" a="1"/>
  <c r="W29" i="81" a="1"/>
  <c r="W30" i="81" a="1"/>
  <c r="W31" i="81" a="1"/>
  <c r="W32" i="81" a="1"/>
  <c r="W33" i="81" a="1"/>
  <c r="W34" i="81" a="1"/>
  <c r="W35" i="81" a="1"/>
  <c r="W36" i="81" a="1"/>
  <c r="W37" i="81" a="1"/>
  <c r="W38" i="81" a="1"/>
  <c r="W39" i="81" a="1"/>
  <c r="W40" i="81" a="1"/>
  <c r="W41" i="81" a="1"/>
  <c r="W42" i="81" a="1"/>
  <c r="W43" i="81" a="1"/>
  <c r="W44" i="81" a="1"/>
  <c r="W17" i="81"/>
  <c r="W18" i="81"/>
  <c r="W19" i="81"/>
  <c r="W20" i="81"/>
  <c r="W21" i="81"/>
  <c r="W22" i="81"/>
  <c r="W23" i="81"/>
  <c r="W24" i="81"/>
  <c r="W25" i="81"/>
  <c r="W26" i="81"/>
  <c r="W27" i="81"/>
  <c r="W28" i="81"/>
  <c r="W29" i="81"/>
  <c r="W30" i="81"/>
  <c r="W31" i="81"/>
  <c r="W32" i="81"/>
  <c r="W33" i="81"/>
  <c r="W34" i="81"/>
  <c r="W35" i="81"/>
  <c r="W36" i="81"/>
  <c r="W37" i="81"/>
  <c r="W38" i="81"/>
  <c r="W39" i="81"/>
  <c r="W40" i="81"/>
  <c r="W41" i="81"/>
  <c r="W42" i="81"/>
  <c r="W43" i="81"/>
  <c r="W44" i="81"/>
  <c r="W51" i="81"/>
  <c r="AH14" i="81"/>
  <c r="AH15" i="81"/>
  <c r="AH16" i="81"/>
  <c r="AH17" i="81"/>
  <c r="AH18" i="81"/>
  <c r="AH19" i="81"/>
  <c r="AH20" i="81"/>
  <c r="AH21" i="81"/>
  <c r="AH22" i="81"/>
  <c r="AH23" i="81"/>
  <c r="AH24" i="81"/>
  <c r="AH25" i="81"/>
  <c r="AH26" i="81"/>
  <c r="AH27" i="81"/>
  <c r="AH28" i="81"/>
  <c r="AH29" i="81"/>
  <c r="AH30" i="81"/>
  <c r="AH31" i="81"/>
  <c r="AH32" i="81"/>
  <c r="AH33" i="81"/>
  <c r="AH34" i="81"/>
  <c r="AH35" i="81"/>
  <c r="AH36" i="81"/>
  <c r="AH37" i="81"/>
  <c r="AH38" i="81"/>
  <c r="AH39" i="81"/>
  <c r="AH40" i="81"/>
  <c r="AH41" i="81"/>
  <c r="AH42" i="81"/>
  <c r="AH43" i="81"/>
  <c r="AH44" i="81"/>
  <c r="L63" i="81"/>
  <c r="L62" i="81"/>
  <c r="AF15" i="81"/>
  <c r="AG15" i="81"/>
  <c r="AF16" i="81"/>
  <c r="AG16" i="81"/>
  <c r="AF17" i="81"/>
  <c r="AG17" i="81"/>
  <c r="AF18" i="81"/>
  <c r="AG18" i="81"/>
  <c r="AF19" i="81"/>
  <c r="AG19" i="81"/>
  <c r="AF20" i="81"/>
  <c r="AG20" i="81"/>
  <c r="AF21" i="81"/>
  <c r="AG21" i="81"/>
  <c r="AF22" i="81"/>
  <c r="AG22" i="81"/>
  <c r="AF23" i="81"/>
  <c r="AG23" i="81"/>
  <c r="AF24" i="81"/>
  <c r="AG24" i="81"/>
  <c r="AF25" i="81"/>
  <c r="AG25" i="81"/>
  <c r="AF26" i="81"/>
  <c r="AG26" i="81"/>
  <c r="AF27" i="81"/>
  <c r="AG27" i="81"/>
  <c r="AF28" i="81"/>
  <c r="AG28" i="81"/>
  <c r="AF29" i="81"/>
  <c r="AG29" i="81"/>
  <c r="AF30" i="81"/>
  <c r="AG30" i="81"/>
  <c r="AF31" i="81"/>
  <c r="AG31" i="81"/>
  <c r="AF32" i="81"/>
  <c r="AG32" i="81"/>
  <c r="AF33" i="81"/>
  <c r="AG33" i="81"/>
  <c r="AF34" i="81"/>
  <c r="AG34" i="81"/>
  <c r="AF35" i="81"/>
  <c r="AG35" i="81"/>
  <c r="AF36" i="81"/>
  <c r="AG36" i="81"/>
  <c r="AF37" i="81"/>
  <c r="AG37" i="81"/>
  <c r="AF38" i="81"/>
  <c r="AG38" i="81"/>
  <c r="AF39" i="81"/>
  <c r="AG39" i="81"/>
  <c r="AF40" i="81"/>
  <c r="AG40" i="81"/>
  <c r="AF41" i="81"/>
  <c r="AG41" i="81"/>
  <c r="AF42" i="81"/>
  <c r="AG42" i="81"/>
  <c r="AF43" i="81"/>
  <c r="AG43" i="81"/>
  <c r="AF44" i="81"/>
  <c r="AG44" i="81"/>
  <c r="AF14" i="81"/>
  <c r="AG14" i="81"/>
  <c r="K52" i="81"/>
  <c r="U53" i="81"/>
  <c r="V53" i="81"/>
  <c r="X15" i="81" a="1"/>
  <c r="X15" i="81"/>
  <c r="X16" i="81" a="1"/>
  <c r="X16" i="81"/>
  <c r="X17" i="81" a="1"/>
  <c r="X18" i="81" a="1"/>
  <c r="X19" i="81" a="1"/>
  <c r="X20" i="81" a="1"/>
  <c r="X21" i="81" a="1"/>
  <c r="X22" i="81" a="1"/>
  <c r="X23" i="81" a="1"/>
  <c r="X24" i="81" a="1"/>
  <c r="X25" i="81" a="1"/>
  <c r="X26" i="81" a="1"/>
  <c r="X27" i="81" a="1"/>
  <c r="X28" i="81" a="1"/>
  <c r="X29" i="81" a="1"/>
  <c r="X30" i="81" a="1"/>
  <c r="X31" i="81" a="1"/>
  <c r="X32" i="81" a="1"/>
  <c r="X33" i="81" a="1"/>
  <c r="X34" i="81" a="1"/>
  <c r="X35" i="81" a="1"/>
  <c r="X36" i="81" a="1"/>
  <c r="X37" i="81" a="1"/>
  <c r="X38" i="81" a="1"/>
  <c r="X39" i="81" a="1"/>
  <c r="X40" i="81" a="1"/>
  <c r="X41" i="81" a="1"/>
  <c r="X42" i="81" a="1"/>
  <c r="X43" i="81" a="1"/>
  <c r="X44" i="81" a="1"/>
  <c r="X17" i="81"/>
  <c r="X18" i="81"/>
  <c r="X19" i="81"/>
  <c r="X20" i="81"/>
  <c r="X21" i="81"/>
  <c r="X22" i="81"/>
  <c r="X23" i="81"/>
  <c r="X24" i="81"/>
  <c r="X25" i="81"/>
  <c r="X26" i="81"/>
  <c r="X27" i="81"/>
  <c r="X28" i="81"/>
  <c r="X29" i="81"/>
  <c r="X30" i="81"/>
  <c r="X31" i="81"/>
  <c r="X32" i="81"/>
  <c r="X33" i="81"/>
  <c r="X34" i="81"/>
  <c r="X35" i="81"/>
  <c r="X36" i="81"/>
  <c r="X37" i="81"/>
  <c r="X38" i="81"/>
  <c r="X39" i="81"/>
  <c r="X40" i="81"/>
  <c r="X41" i="81"/>
  <c r="X42" i="81"/>
  <c r="X43" i="81"/>
  <c r="X44" i="81"/>
  <c r="X53" i="81"/>
  <c r="Y15" i="81" a="1"/>
  <c r="Y15" i="81"/>
  <c r="Y16" i="81" a="1"/>
  <c r="Y16" i="81"/>
  <c r="Y17" i="81" a="1"/>
  <c r="Y18" i="81" a="1"/>
  <c r="Y19" i="81" a="1"/>
  <c r="Y20" i="81" a="1"/>
  <c r="Y21" i="81" a="1"/>
  <c r="Y22" i="81" a="1"/>
  <c r="Y23" i="81" a="1"/>
  <c r="Y24" i="81" a="1"/>
  <c r="Y25" i="81" a="1"/>
  <c r="Y26" i="81" a="1"/>
  <c r="Y27" i="81" a="1"/>
  <c r="Y28" i="81" a="1"/>
  <c r="Y29" i="81" a="1"/>
  <c r="Y30" i="81" a="1"/>
  <c r="Y31" i="81" a="1"/>
  <c r="Y32" i="81" a="1"/>
  <c r="Y33" i="81" a="1"/>
  <c r="Y34" i="81" a="1"/>
  <c r="Y35" i="81" a="1"/>
  <c r="Y36" i="81" a="1"/>
  <c r="Y37" i="81" a="1"/>
  <c r="Y38" i="81" a="1"/>
  <c r="Y39" i="81" a="1"/>
  <c r="Y40" i="81" a="1"/>
  <c r="Y41" i="81" a="1"/>
  <c r="Y42" i="81" a="1"/>
  <c r="Y43" i="81" a="1"/>
  <c r="Y44" i="81" a="1"/>
  <c r="Y17" i="81"/>
  <c r="Y18" i="81"/>
  <c r="Y19" i="81"/>
  <c r="Y20" i="81"/>
  <c r="Y21" i="81"/>
  <c r="Y22" i="81"/>
  <c r="Y23" i="81"/>
  <c r="Y24" i="81"/>
  <c r="Y25" i="81"/>
  <c r="Y26" i="81"/>
  <c r="Y27" i="81"/>
  <c r="Y28" i="81"/>
  <c r="Y29" i="81"/>
  <c r="Y30" i="81"/>
  <c r="Y31" i="81"/>
  <c r="Y32" i="81"/>
  <c r="Y33" i="81"/>
  <c r="Y34" i="81"/>
  <c r="Y35" i="81"/>
  <c r="Y36" i="81"/>
  <c r="Y37" i="81"/>
  <c r="Y38" i="81"/>
  <c r="Y39" i="81"/>
  <c r="Y40" i="81"/>
  <c r="Y41" i="81"/>
  <c r="Y42" i="81"/>
  <c r="Y43" i="81"/>
  <c r="Y44" i="81"/>
  <c r="Y53" i="81"/>
  <c r="B13" i="81"/>
  <c r="H78" i="81"/>
  <c r="H81" i="81"/>
  <c r="H82" i="81"/>
  <c r="H83" i="81"/>
  <c r="H84" i="81"/>
  <c r="H105" i="81"/>
  <c r="H108" i="81"/>
  <c r="H109" i="81"/>
  <c r="H110" i="81"/>
  <c r="H111" i="81"/>
  <c r="H79" i="81"/>
  <c r="H80" i="81"/>
  <c r="H87" i="81"/>
  <c r="H88" i="81"/>
  <c r="H89" i="81"/>
  <c r="H90" i="81"/>
  <c r="H91" i="81"/>
  <c r="H92" i="81"/>
  <c r="H93" i="81"/>
  <c r="H94" i="81"/>
  <c r="H95" i="81"/>
  <c r="H96" i="81"/>
  <c r="H97" i="81"/>
  <c r="H98" i="81"/>
  <c r="H99" i="81"/>
  <c r="H100" i="81"/>
  <c r="H101" i="81"/>
  <c r="H102" i="81"/>
  <c r="H103" i="81"/>
  <c r="H106" i="81"/>
  <c r="H107" i="81"/>
  <c r="K53" i="81"/>
  <c r="Q14" i="81"/>
  <c r="Q15" i="81"/>
  <c r="Q16" i="81"/>
  <c r="Q17" i="81"/>
  <c r="Q18" i="81"/>
  <c r="Q19" i="81"/>
  <c r="Q20" i="81"/>
  <c r="Q21" i="81"/>
  <c r="Q22" i="81"/>
  <c r="Q23" i="81"/>
  <c r="Q24" i="81"/>
  <c r="Q25" i="81"/>
  <c r="Q26" i="81"/>
  <c r="Q27" i="81"/>
  <c r="Q28" i="81"/>
  <c r="Q29" i="81"/>
  <c r="Q30" i="81"/>
  <c r="Q31" i="81"/>
  <c r="Q32" i="81"/>
  <c r="Q33" i="81"/>
  <c r="Q34" i="81"/>
  <c r="Q35" i="81"/>
  <c r="Q36" i="81"/>
  <c r="Q37" i="81"/>
  <c r="Q38" i="81"/>
  <c r="Q39" i="81"/>
  <c r="Q40" i="81"/>
  <c r="Q41" i="81"/>
  <c r="Q42" i="81"/>
  <c r="Q43" i="81"/>
  <c r="Q44" i="81"/>
  <c r="R14" i="81"/>
  <c r="R15" i="81"/>
  <c r="R16" i="81"/>
  <c r="R17" i="81"/>
  <c r="R18" i="81"/>
  <c r="R19" i="81"/>
  <c r="R20" i="81"/>
  <c r="R21" i="81"/>
  <c r="R22" i="81"/>
  <c r="R23" i="81"/>
  <c r="R24" i="81"/>
  <c r="R25" i="81"/>
  <c r="R26" i="81"/>
  <c r="R27" i="81"/>
  <c r="R28" i="81"/>
  <c r="R29" i="81"/>
  <c r="R30" i="81"/>
  <c r="R31" i="81"/>
  <c r="R32" i="81"/>
  <c r="R33" i="81"/>
  <c r="R34" i="81"/>
  <c r="R35" i="81"/>
  <c r="R36" i="81"/>
  <c r="R37" i="81"/>
  <c r="R38" i="81"/>
  <c r="R39" i="81"/>
  <c r="R40" i="81"/>
  <c r="R41" i="81"/>
  <c r="R42" i="81"/>
  <c r="R43" i="81"/>
  <c r="R44" i="81"/>
  <c r="K57" i="81"/>
  <c r="L58" i="81"/>
  <c r="L51" i="81"/>
  <c r="D55" i="80"/>
  <c r="D56" i="80"/>
  <c r="D57" i="80"/>
  <c r="L74" i="80"/>
  <c r="E13" i="80"/>
  <c r="AB14" i="80"/>
  <c r="AB15" i="80"/>
  <c r="AB16" i="80"/>
  <c r="AB17" i="80"/>
  <c r="AB18" i="80"/>
  <c r="AB19" i="80"/>
  <c r="AB20" i="80"/>
  <c r="AB21" i="80"/>
  <c r="AB22" i="80"/>
  <c r="AB23" i="80"/>
  <c r="AB24" i="80"/>
  <c r="AB25" i="80"/>
  <c r="AB26" i="80"/>
  <c r="AB27" i="80"/>
  <c r="AB28" i="80"/>
  <c r="AB29" i="80"/>
  <c r="AB30" i="80"/>
  <c r="AB31" i="80"/>
  <c r="AB32" i="80"/>
  <c r="AB33" i="80"/>
  <c r="AB34" i="80"/>
  <c r="AB35" i="80"/>
  <c r="AB36" i="80"/>
  <c r="AB37" i="80"/>
  <c r="AB38" i="80"/>
  <c r="AB39" i="80"/>
  <c r="AB40" i="80"/>
  <c r="AB41" i="80"/>
  <c r="AB42" i="80"/>
  <c r="AB43" i="80"/>
  <c r="AB44" i="80"/>
  <c r="D13" i="80"/>
  <c r="M13" i="80"/>
  <c r="L13" i="80"/>
  <c r="L14" i="80"/>
  <c r="K14" i="80"/>
  <c r="T14" i="80"/>
  <c r="U15" i="80" a="1"/>
  <c r="U15" i="80"/>
  <c r="L15" i="80"/>
  <c r="K15" i="80"/>
  <c r="T15" i="80"/>
  <c r="U16" i="80" a="1"/>
  <c r="U16" i="80"/>
  <c r="L16" i="80"/>
  <c r="K16" i="80"/>
  <c r="T16" i="80"/>
  <c r="U17" i="80" a="1"/>
  <c r="L17" i="80"/>
  <c r="K17" i="80"/>
  <c r="T17" i="80"/>
  <c r="U18" i="80" a="1"/>
  <c r="L18" i="80"/>
  <c r="K18" i="80"/>
  <c r="T18" i="80"/>
  <c r="U19" i="80" a="1"/>
  <c r="L19" i="80"/>
  <c r="K19" i="80"/>
  <c r="T19" i="80"/>
  <c r="U20" i="80" a="1"/>
  <c r="L20" i="80"/>
  <c r="K20" i="80"/>
  <c r="T20" i="80"/>
  <c r="U21" i="80" a="1"/>
  <c r="L21" i="80"/>
  <c r="K21" i="80"/>
  <c r="T21" i="80"/>
  <c r="U22" i="80" a="1"/>
  <c r="L22" i="80"/>
  <c r="K22" i="80"/>
  <c r="T22" i="80"/>
  <c r="U23" i="80" a="1"/>
  <c r="L23" i="80"/>
  <c r="K23" i="80"/>
  <c r="T23" i="80"/>
  <c r="U24" i="80" a="1"/>
  <c r="L24" i="80"/>
  <c r="K24" i="80"/>
  <c r="T24" i="80"/>
  <c r="U25" i="80" a="1"/>
  <c r="L25" i="80"/>
  <c r="K25" i="80"/>
  <c r="T25" i="80"/>
  <c r="U26" i="80" a="1"/>
  <c r="L26" i="80"/>
  <c r="K26" i="80"/>
  <c r="T26" i="80"/>
  <c r="U27" i="80" a="1"/>
  <c r="L27" i="80"/>
  <c r="K27" i="80"/>
  <c r="T27" i="80"/>
  <c r="U28" i="80" a="1"/>
  <c r="L28" i="80"/>
  <c r="K28" i="80"/>
  <c r="T28" i="80"/>
  <c r="U29" i="80" a="1"/>
  <c r="L29" i="80"/>
  <c r="K29" i="80"/>
  <c r="T29" i="80"/>
  <c r="U30" i="80" a="1"/>
  <c r="L30" i="80"/>
  <c r="K30" i="80"/>
  <c r="T30" i="80"/>
  <c r="U31" i="80" a="1"/>
  <c r="L31" i="80"/>
  <c r="K31" i="80"/>
  <c r="T31" i="80"/>
  <c r="U32" i="80" a="1"/>
  <c r="L32" i="80"/>
  <c r="K32" i="80"/>
  <c r="T32" i="80"/>
  <c r="U33" i="80" a="1"/>
  <c r="L33" i="80"/>
  <c r="K33" i="80"/>
  <c r="T33" i="80"/>
  <c r="U34" i="80" a="1"/>
  <c r="L34" i="80"/>
  <c r="K34" i="80"/>
  <c r="T34" i="80"/>
  <c r="U35" i="80" a="1"/>
  <c r="L35" i="80"/>
  <c r="K35" i="80"/>
  <c r="T35" i="80"/>
  <c r="U36" i="80" a="1"/>
  <c r="L36" i="80"/>
  <c r="K36" i="80"/>
  <c r="T36" i="80"/>
  <c r="U37" i="80" a="1"/>
  <c r="L37" i="80"/>
  <c r="K37" i="80"/>
  <c r="T37" i="80"/>
  <c r="U38" i="80" a="1"/>
  <c r="L38" i="80"/>
  <c r="K38" i="80"/>
  <c r="T38" i="80"/>
  <c r="U39" i="80" a="1"/>
  <c r="L39" i="80"/>
  <c r="K39" i="80"/>
  <c r="T39" i="80"/>
  <c r="U40" i="80" a="1"/>
  <c r="L40" i="80"/>
  <c r="K40" i="80"/>
  <c r="T40" i="80"/>
  <c r="U41" i="80" a="1"/>
  <c r="L41" i="80"/>
  <c r="K41" i="80"/>
  <c r="T41" i="80"/>
  <c r="U42" i="80" a="1"/>
  <c r="L42" i="80"/>
  <c r="K42" i="80"/>
  <c r="T42" i="80"/>
  <c r="U43" i="80" a="1"/>
  <c r="L43" i="80"/>
  <c r="K43" i="80"/>
  <c r="T43" i="80"/>
  <c r="U44" i="80" a="1"/>
  <c r="U17" i="80"/>
  <c r="U18" i="80"/>
  <c r="U19" i="80"/>
  <c r="U20" i="80"/>
  <c r="U21" i="80"/>
  <c r="U22" i="80"/>
  <c r="U23" i="80"/>
  <c r="U24" i="80"/>
  <c r="U25" i="80"/>
  <c r="U26" i="80"/>
  <c r="U27" i="80"/>
  <c r="U28" i="80"/>
  <c r="U29" i="80"/>
  <c r="U30" i="80"/>
  <c r="U31" i="80"/>
  <c r="U32" i="80"/>
  <c r="U33" i="80"/>
  <c r="U34" i="80"/>
  <c r="U35" i="80"/>
  <c r="U36" i="80"/>
  <c r="U37" i="80"/>
  <c r="U38" i="80"/>
  <c r="U39" i="80"/>
  <c r="U40" i="80"/>
  <c r="U41" i="80"/>
  <c r="U42" i="80"/>
  <c r="U43" i="80"/>
  <c r="U44" i="80"/>
  <c r="V15" i="80" a="1"/>
  <c r="V15" i="80"/>
  <c r="V16" i="80" a="1"/>
  <c r="V16" i="80"/>
  <c r="V17" i="80" a="1"/>
  <c r="V18" i="80" a="1"/>
  <c r="V19" i="80" a="1"/>
  <c r="V20" i="80" a="1"/>
  <c r="V21" i="80" a="1"/>
  <c r="V22" i="80" a="1"/>
  <c r="V23" i="80" a="1"/>
  <c r="V24" i="80" a="1"/>
  <c r="V25" i="80" a="1"/>
  <c r="V26" i="80" a="1"/>
  <c r="V27" i="80" a="1"/>
  <c r="V28" i="80" a="1"/>
  <c r="V29" i="80" a="1"/>
  <c r="V30" i="80" a="1"/>
  <c r="V31" i="80" a="1"/>
  <c r="V32" i="80" a="1"/>
  <c r="V33" i="80" a="1"/>
  <c r="V34" i="80" a="1"/>
  <c r="V35" i="80" a="1"/>
  <c r="V36" i="80" a="1"/>
  <c r="V37" i="80" a="1"/>
  <c r="V38" i="80" a="1"/>
  <c r="V39" i="80" a="1"/>
  <c r="V40" i="80" a="1"/>
  <c r="V41" i="80" a="1"/>
  <c r="V42" i="80" a="1"/>
  <c r="V43" i="80" a="1"/>
  <c r="L44" i="80"/>
  <c r="K44" i="80"/>
  <c r="T44" i="80"/>
  <c r="V44" i="80" a="1"/>
  <c r="V17" i="80"/>
  <c r="V18" i="80"/>
  <c r="V19" i="80"/>
  <c r="V20" i="80"/>
  <c r="V21" i="80"/>
  <c r="V22" i="80"/>
  <c r="V23" i="80"/>
  <c r="V24" i="80"/>
  <c r="V25" i="80"/>
  <c r="V26" i="80"/>
  <c r="V27" i="80"/>
  <c r="V28" i="80"/>
  <c r="V29" i="80"/>
  <c r="V30" i="80"/>
  <c r="V31" i="80"/>
  <c r="V32" i="80"/>
  <c r="V33" i="80"/>
  <c r="V34" i="80"/>
  <c r="V35" i="80"/>
  <c r="V36" i="80"/>
  <c r="V37" i="80"/>
  <c r="V38" i="80"/>
  <c r="V39" i="80"/>
  <c r="V40" i="80"/>
  <c r="V41" i="80"/>
  <c r="V42" i="80"/>
  <c r="V43" i="80"/>
  <c r="V44" i="80"/>
  <c r="W15" i="80" a="1"/>
  <c r="W15" i="80"/>
  <c r="W16" i="80" a="1"/>
  <c r="W16" i="80"/>
  <c r="W17" i="80" a="1"/>
  <c r="W18" i="80" a="1"/>
  <c r="W19" i="80" a="1"/>
  <c r="W20" i="80" a="1"/>
  <c r="W21" i="80" a="1"/>
  <c r="W22" i="80" a="1"/>
  <c r="W23" i="80" a="1"/>
  <c r="W24" i="80" a="1"/>
  <c r="W25" i="80" a="1"/>
  <c r="W26" i="80" a="1"/>
  <c r="W27" i="80" a="1"/>
  <c r="W28" i="80" a="1"/>
  <c r="W29" i="80" a="1"/>
  <c r="W30" i="80" a="1"/>
  <c r="W31" i="80" a="1"/>
  <c r="W32" i="80" a="1"/>
  <c r="W33" i="80" a="1"/>
  <c r="W34" i="80" a="1"/>
  <c r="W35" i="80" a="1"/>
  <c r="W36" i="80" a="1"/>
  <c r="W37" i="80" a="1"/>
  <c r="W38" i="80" a="1"/>
  <c r="W39" i="80" a="1"/>
  <c r="W40" i="80" a="1"/>
  <c r="W41" i="80" a="1"/>
  <c r="W42" i="80" a="1"/>
  <c r="W43" i="80" a="1"/>
  <c r="W44" i="80" a="1"/>
  <c r="W17" i="80"/>
  <c r="W18" i="80"/>
  <c r="W19" i="80"/>
  <c r="W20" i="80"/>
  <c r="W21" i="80"/>
  <c r="W22" i="80"/>
  <c r="W23" i="80"/>
  <c r="W24" i="80"/>
  <c r="W25" i="80"/>
  <c r="W26" i="80"/>
  <c r="W27" i="80"/>
  <c r="W28" i="80"/>
  <c r="W29" i="80"/>
  <c r="W30" i="80"/>
  <c r="W31" i="80"/>
  <c r="W32" i="80"/>
  <c r="W33" i="80"/>
  <c r="W34" i="80"/>
  <c r="W35" i="80"/>
  <c r="W36" i="80"/>
  <c r="W37" i="80"/>
  <c r="W38" i="80"/>
  <c r="W39" i="80"/>
  <c r="W40" i="80"/>
  <c r="W41" i="80"/>
  <c r="W42" i="80"/>
  <c r="W43" i="80"/>
  <c r="W44" i="80"/>
  <c r="W51" i="80"/>
  <c r="AH14" i="80"/>
  <c r="AH15" i="80"/>
  <c r="AH16" i="80"/>
  <c r="AH17" i="80"/>
  <c r="AH18" i="80"/>
  <c r="AH19" i="80"/>
  <c r="AH20" i="80"/>
  <c r="AH21" i="80"/>
  <c r="AH22" i="80"/>
  <c r="AH23" i="80"/>
  <c r="AH24" i="80"/>
  <c r="AH25" i="80"/>
  <c r="AH26" i="80"/>
  <c r="AH27" i="80"/>
  <c r="AH28" i="80"/>
  <c r="AH29" i="80"/>
  <c r="AH30" i="80"/>
  <c r="AH31" i="80"/>
  <c r="AH32" i="80"/>
  <c r="AH33" i="80"/>
  <c r="AH34" i="80"/>
  <c r="AH35" i="80"/>
  <c r="AH36" i="80"/>
  <c r="AH37" i="80"/>
  <c r="AH38" i="80"/>
  <c r="AH39" i="80"/>
  <c r="AH40" i="80"/>
  <c r="AH41" i="80"/>
  <c r="AH42" i="80"/>
  <c r="AH43" i="80"/>
  <c r="AH44" i="80"/>
  <c r="L63" i="80"/>
  <c r="L62" i="80"/>
  <c r="AF15" i="80"/>
  <c r="AG15" i="80"/>
  <c r="AF16" i="80"/>
  <c r="AG16" i="80"/>
  <c r="AF17" i="80"/>
  <c r="AG17" i="80"/>
  <c r="AF18" i="80"/>
  <c r="AG18" i="80"/>
  <c r="AF19" i="80"/>
  <c r="AG19" i="80"/>
  <c r="AF20" i="80"/>
  <c r="AG20" i="80"/>
  <c r="AF21" i="80"/>
  <c r="AG21" i="80"/>
  <c r="AF22" i="80"/>
  <c r="AG22" i="80"/>
  <c r="AF23" i="80"/>
  <c r="AG23" i="80"/>
  <c r="AF24" i="80"/>
  <c r="AG24" i="80"/>
  <c r="AF25" i="80"/>
  <c r="AG25" i="80"/>
  <c r="AF26" i="80"/>
  <c r="AG26" i="80"/>
  <c r="AF27" i="80"/>
  <c r="AG27" i="80"/>
  <c r="AF28" i="80"/>
  <c r="AG28" i="80"/>
  <c r="AF29" i="80"/>
  <c r="AG29" i="80"/>
  <c r="AF30" i="80"/>
  <c r="AG30" i="80"/>
  <c r="AF31" i="80"/>
  <c r="AG31" i="80"/>
  <c r="AF32" i="80"/>
  <c r="AG32" i="80"/>
  <c r="AF33" i="80"/>
  <c r="AG33" i="80"/>
  <c r="AF34" i="80"/>
  <c r="AG34" i="80"/>
  <c r="AF35" i="80"/>
  <c r="AG35" i="80"/>
  <c r="AF36" i="80"/>
  <c r="AG36" i="80"/>
  <c r="AF37" i="80"/>
  <c r="AG37" i="80"/>
  <c r="AF38" i="80"/>
  <c r="AG38" i="80"/>
  <c r="AF39" i="80"/>
  <c r="AG39" i="80"/>
  <c r="AF40" i="80"/>
  <c r="AG40" i="80"/>
  <c r="AF41" i="80"/>
  <c r="AG41" i="80"/>
  <c r="AF42" i="80"/>
  <c r="AG42" i="80"/>
  <c r="AF43" i="80"/>
  <c r="AG43" i="80"/>
  <c r="AF44" i="80"/>
  <c r="AG44" i="80"/>
  <c r="AF14" i="80"/>
  <c r="AG14" i="80"/>
  <c r="K52" i="80"/>
  <c r="U53" i="80"/>
  <c r="V53" i="80"/>
  <c r="X15" i="80" a="1"/>
  <c r="X15" i="80"/>
  <c r="X16" i="80" a="1"/>
  <c r="X16" i="80"/>
  <c r="X17" i="80" a="1"/>
  <c r="X18" i="80" a="1"/>
  <c r="X19" i="80" a="1"/>
  <c r="X20" i="80" a="1"/>
  <c r="X21" i="80" a="1"/>
  <c r="X22" i="80" a="1"/>
  <c r="X23" i="80" a="1"/>
  <c r="X24" i="80" a="1"/>
  <c r="X25" i="80" a="1"/>
  <c r="X26" i="80" a="1"/>
  <c r="X27" i="80" a="1"/>
  <c r="X28" i="80" a="1"/>
  <c r="X29" i="80" a="1"/>
  <c r="X30" i="80" a="1"/>
  <c r="X31" i="80" a="1"/>
  <c r="X32" i="80" a="1"/>
  <c r="X33" i="80" a="1"/>
  <c r="X34" i="80" a="1"/>
  <c r="X35" i="80" a="1"/>
  <c r="X36" i="80" a="1"/>
  <c r="X37" i="80" a="1"/>
  <c r="X38" i="80" a="1"/>
  <c r="X39" i="80" a="1"/>
  <c r="X40" i="80" a="1"/>
  <c r="X41" i="80" a="1"/>
  <c r="X42" i="80" a="1"/>
  <c r="X43" i="80" a="1"/>
  <c r="X44" i="80" a="1"/>
  <c r="X17" i="80"/>
  <c r="X18" i="80"/>
  <c r="X19" i="80"/>
  <c r="X20" i="80"/>
  <c r="X21" i="80"/>
  <c r="X22" i="80"/>
  <c r="X23" i="80"/>
  <c r="X24" i="80"/>
  <c r="X25" i="80"/>
  <c r="X26" i="80"/>
  <c r="X27" i="80"/>
  <c r="X28" i="80"/>
  <c r="X29" i="80"/>
  <c r="X30" i="80"/>
  <c r="X31" i="80"/>
  <c r="X32" i="80"/>
  <c r="X33" i="80"/>
  <c r="X34" i="80"/>
  <c r="X35" i="80"/>
  <c r="X36" i="80"/>
  <c r="X37" i="80"/>
  <c r="X38" i="80"/>
  <c r="X39" i="80"/>
  <c r="X40" i="80"/>
  <c r="X41" i="80"/>
  <c r="X42" i="80"/>
  <c r="X43" i="80"/>
  <c r="X44" i="80"/>
  <c r="X53" i="80"/>
  <c r="Y15" i="80" a="1"/>
  <c r="Y15" i="80"/>
  <c r="Y16" i="80" a="1"/>
  <c r="Y16" i="80"/>
  <c r="Y17" i="80" a="1"/>
  <c r="Y18" i="80" a="1"/>
  <c r="Y19" i="80" a="1"/>
  <c r="Y20" i="80" a="1"/>
  <c r="Y21" i="80" a="1"/>
  <c r="Y22" i="80" a="1"/>
  <c r="Y23" i="80" a="1"/>
  <c r="Y24" i="80" a="1"/>
  <c r="Y25" i="80" a="1"/>
  <c r="Y26" i="80" a="1"/>
  <c r="Y27" i="80" a="1"/>
  <c r="Y28" i="80" a="1"/>
  <c r="Y29" i="80" a="1"/>
  <c r="Y30" i="80" a="1"/>
  <c r="Y31" i="80" a="1"/>
  <c r="Y32" i="80" a="1"/>
  <c r="Y33" i="80" a="1"/>
  <c r="Y34" i="80" a="1"/>
  <c r="Y35" i="80" a="1"/>
  <c r="Y36" i="80" a="1"/>
  <c r="Y37" i="80" a="1"/>
  <c r="Y38" i="80" a="1"/>
  <c r="Y39" i="80" a="1"/>
  <c r="Y40" i="80" a="1"/>
  <c r="Y41" i="80" a="1"/>
  <c r="Y42" i="80" a="1"/>
  <c r="Y43" i="80" a="1"/>
  <c r="Y44" i="80" a="1"/>
  <c r="Y17" i="80"/>
  <c r="Y18" i="80"/>
  <c r="Y19" i="80"/>
  <c r="Y20" i="80"/>
  <c r="Y21" i="80"/>
  <c r="Y22" i="80"/>
  <c r="Y23" i="80"/>
  <c r="Y24" i="80"/>
  <c r="Y25" i="80"/>
  <c r="Y26" i="80"/>
  <c r="Y27" i="80"/>
  <c r="Y28" i="80"/>
  <c r="Y29" i="80"/>
  <c r="Y30" i="80"/>
  <c r="Y31" i="80"/>
  <c r="Y32" i="80"/>
  <c r="Y33" i="80"/>
  <c r="Y34" i="80"/>
  <c r="Y35" i="80"/>
  <c r="Y36" i="80"/>
  <c r="Y37" i="80"/>
  <c r="Y38" i="80"/>
  <c r="Y39" i="80"/>
  <c r="Y40" i="80"/>
  <c r="Y41" i="80"/>
  <c r="Y42" i="80"/>
  <c r="Y43" i="80"/>
  <c r="Y44" i="80"/>
  <c r="Y53" i="80"/>
  <c r="B13" i="80"/>
  <c r="H78" i="80"/>
  <c r="H81" i="80"/>
  <c r="H82" i="80"/>
  <c r="H83" i="80"/>
  <c r="H84" i="80"/>
  <c r="H105" i="80"/>
  <c r="H108" i="80"/>
  <c r="H109" i="80"/>
  <c r="H110" i="80"/>
  <c r="H111" i="80"/>
  <c r="H79" i="80"/>
  <c r="H80" i="80"/>
  <c r="H87" i="80"/>
  <c r="H88" i="80"/>
  <c r="H89" i="80"/>
  <c r="H90" i="80"/>
  <c r="H91" i="80"/>
  <c r="H92" i="80"/>
  <c r="H93" i="80"/>
  <c r="H94" i="80"/>
  <c r="H95" i="80"/>
  <c r="H96" i="80"/>
  <c r="H97" i="80"/>
  <c r="H98" i="80"/>
  <c r="H99" i="80"/>
  <c r="H100" i="80"/>
  <c r="H101" i="80"/>
  <c r="H102" i="80"/>
  <c r="H103" i="80"/>
  <c r="H106" i="80"/>
  <c r="H107" i="80"/>
  <c r="K53" i="80"/>
  <c r="Q14" i="80"/>
  <c r="Q15" i="80"/>
  <c r="Q16" i="80"/>
  <c r="Q17" i="80"/>
  <c r="Q18" i="80"/>
  <c r="Q19" i="80"/>
  <c r="Q20" i="80"/>
  <c r="Q21" i="80"/>
  <c r="Q22" i="80"/>
  <c r="Q23" i="80"/>
  <c r="Q24" i="80"/>
  <c r="Q25" i="80"/>
  <c r="Q26" i="80"/>
  <c r="Q27" i="80"/>
  <c r="Q28" i="80"/>
  <c r="Q29" i="80"/>
  <c r="Q30" i="80"/>
  <c r="Q31" i="80"/>
  <c r="Q32" i="80"/>
  <c r="Q33" i="80"/>
  <c r="Q34" i="80"/>
  <c r="Q35" i="80"/>
  <c r="Q36" i="80"/>
  <c r="Q37" i="80"/>
  <c r="Q38" i="80"/>
  <c r="Q39" i="80"/>
  <c r="Q40" i="80"/>
  <c r="Q41" i="80"/>
  <c r="Q42" i="80"/>
  <c r="Q43" i="80"/>
  <c r="Q44" i="80"/>
  <c r="R14" i="80"/>
  <c r="R15" i="80"/>
  <c r="R16" i="80"/>
  <c r="R17" i="80"/>
  <c r="R18" i="80"/>
  <c r="R19" i="80"/>
  <c r="R20" i="80"/>
  <c r="R21" i="80"/>
  <c r="R22" i="80"/>
  <c r="R23" i="80"/>
  <c r="R24" i="80"/>
  <c r="R25" i="80"/>
  <c r="R26" i="80"/>
  <c r="R27" i="80"/>
  <c r="R28" i="80"/>
  <c r="R29" i="80"/>
  <c r="R30" i="80"/>
  <c r="R31" i="80"/>
  <c r="R32" i="80"/>
  <c r="R33" i="80"/>
  <c r="R34" i="80"/>
  <c r="R35" i="80"/>
  <c r="R36" i="80"/>
  <c r="R37" i="80"/>
  <c r="R38" i="80"/>
  <c r="R39" i="80"/>
  <c r="R40" i="80"/>
  <c r="R41" i="80"/>
  <c r="R42" i="80"/>
  <c r="R43" i="80"/>
  <c r="R44" i="80"/>
  <c r="K57" i="80"/>
  <c r="L58" i="80"/>
  <c r="L51" i="80"/>
  <c r="D55" i="79"/>
  <c r="D56" i="79"/>
  <c r="D57" i="79"/>
  <c r="L74" i="79"/>
  <c r="H8" i="79"/>
  <c r="E13" i="79"/>
  <c r="AB14" i="79"/>
  <c r="AB15" i="79"/>
  <c r="AB16" i="79"/>
  <c r="AB17" i="79"/>
  <c r="AB18" i="79"/>
  <c r="AB19" i="79"/>
  <c r="AB20" i="79"/>
  <c r="AB21" i="79"/>
  <c r="AB22" i="79"/>
  <c r="AB23" i="79"/>
  <c r="AB24" i="79"/>
  <c r="AB25" i="79"/>
  <c r="AB26" i="79"/>
  <c r="AB27" i="79"/>
  <c r="AB28" i="79"/>
  <c r="AB29" i="79"/>
  <c r="AB30" i="79"/>
  <c r="AB31" i="79"/>
  <c r="AB32" i="79"/>
  <c r="AB33" i="79"/>
  <c r="AB34" i="79"/>
  <c r="AB35" i="79"/>
  <c r="AB36" i="79"/>
  <c r="AB37" i="79"/>
  <c r="AB38" i="79"/>
  <c r="AB39" i="79"/>
  <c r="AB40" i="79"/>
  <c r="AB41" i="79"/>
  <c r="AB42" i="79"/>
  <c r="AB43" i="79"/>
  <c r="AB44" i="79"/>
  <c r="D13" i="79"/>
  <c r="M13" i="79"/>
  <c r="L13" i="79"/>
  <c r="L14" i="79"/>
  <c r="K14" i="79"/>
  <c r="T14" i="79"/>
  <c r="U15" i="79" a="1"/>
  <c r="U15" i="79"/>
  <c r="L15" i="79"/>
  <c r="K15" i="79"/>
  <c r="T15" i="79"/>
  <c r="U16" i="79" a="1"/>
  <c r="U16" i="79"/>
  <c r="L16" i="79"/>
  <c r="K16" i="79"/>
  <c r="T16" i="79"/>
  <c r="U17" i="79" a="1"/>
  <c r="L17" i="79"/>
  <c r="K17" i="79"/>
  <c r="T17" i="79"/>
  <c r="U18" i="79" a="1"/>
  <c r="L18" i="79"/>
  <c r="K18" i="79"/>
  <c r="T18" i="79"/>
  <c r="U19" i="79" a="1"/>
  <c r="L19" i="79"/>
  <c r="K19" i="79"/>
  <c r="T19" i="79"/>
  <c r="U20" i="79" a="1"/>
  <c r="L20" i="79"/>
  <c r="K20" i="79"/>
  <c r="T20" i="79"/>
  <c r="U21" i="79" a="1"/>
  <c r="L21" i="79"/>
  <c r="K21" i="79"/>
  <c r="T21" i="79"/>
  <c r="U22" i="79" a="1"/>
  <c r="L22" i="79"/>
  <c r="K22" i="79"/>
  <c r="T22" i="79"/>
  <c r="U23" i="79" a="1"/>
  <c r="L23" i="79"/>
  <c r="K23" i="79"/>
  <c r="T23" i="79"/>
  <c r="U24" i="79" a="1"/>
  <c r="L24" i="79"/>
  <c r="K24" i="79"/>
  <c r="T24" i="79"/>
  <c r="U25" i="79" a="1"/>
  <c r="L25" i="79"/>
  <c r="K25" i="79"/>
  <c r="T25" i="79"/>
  <c r="U26" i="79" a="1"/>
  <c r="L26" i="79"/>
  <c r="K26" i="79"/>
  <c r="T26" i="79"/>
  <c r="U27" i="79" a="1"/>
  <c r="L27" i="79"/>
  <c r="K27" i="79"/>
  <c r="T27" i="79"/>
  <c r="U28" i="79" a="1"/>
  <c r="L28" i="79"/>
  <c r="K28" i="79"/>
  <c r="T28" i="79"/>
  <c r="U29" i="79" a="1"/>
  <c r="L29" i="79"/>
  <c r="K29" i="79"/>
  <c r="T29" i="79"/>
  <c r="U30" i="79" a="1"/>
  <c r="L30" i="79"/>
  <c r="K30" i="79"/>
  <c r="T30" i="79"/>
  <c r="U31" i="79" a="1"/>
  <c r="L31" i="79"/>
  <c r="K31" i="79"/>
  <c r="T31" i="79"/>
  <c r="U32" i="79" a="1"/>
  <c r="L32" i="79"/>
  <c r="K32" i="79"/>
  <c r="T32" i="79"/>
  <c r="U33" i="79" a="1"/>
  <c r="L33" i="79"/>
  <c r="K33" i="79"/>
  <c r="T33" i="79"/>
  <c r="U34" i="79" a="1"/>
  <c r="L34" i="79"/>
  <c r="K34" i="79"/>
  <c r="T34" i="79"/>
  <c r="U35" i="79" a="1"/>
  <c r="L35" i="79"/>
  <c r="K35" i="79"/>
  <c r="T35" i="79"/>
  <c r="U36" i="79" a="1"/>
  <c r="L36" i="79"/>
  <c r="K36" i="79"/>
  <c r="T36" i="79"/>
  <c r="U37" i="79" a="1"/>
  <c r="L37" i="79"/>
  <c r="K37" i="79"/>
  <c r="T37" i="79"/>
  <c r="U38" i="79" a="1"/>
  <c r="L38" i="79"/>
  <c r="K38" i="79"/>
  <c r="T38" i="79"/>
  <c r="U39" i="79" a="1"/>
  <c r="L39" i="79"/>
  <c r="K39" i="79"/>
  <c r="T39" i="79"/>
  <c r="U40" i="79" a="1"/>
  <c r="L40" i="79"/>
  <c r="K40" i="79"/>
  <c r="T40" i="79"/>
  <c r="U41" i="79" a="1"/>
  <c r="L41" i="79"/>
  <c r="K41" i="79"/>
  <c r="T41" i="79"/>
  <c r="U42" i="79" a="1"/>
  <c r="L42" i="79"/>
  <c r="K42" i="79"/>
  <c r="T42" i="79"/>
  <c r="U43" i="79" a="1"/>
  <c r="L43" i="79"/>
  <c r="K43" i="79"/>
  <c r="T43" i="79"/>
  <c r="U44" i="79" a="1"/>
  <c r="U17" i="79"/>
  <c r="U18" i="79"/>
  <c r="U19" i="79"/>
  <c r="U20" i="79"/>
  <c r="U21" i="79"/>
  <c r="U22" i="79"/>
  <c r="U23" i="79"/>
  <c r="U24" i="79"/>
  <c r="U25" i="79"/>
  <c r="U26" i="79"/>
  <c r="U27" i="79"/>
  <c r="U28" i="79"/>
  <c r="U29" i="79"/>
  <c r="U30" i="79"/>
  <c r="U31" i="79"/>
  <c r="U32" i="79"/>
  <c r="U33" i="79"/>
  <c r="U34" i="79"/>
  <c r="U35" i="79"/>
  <c r="U36" i="79"/>
  <c r="U37" i="79"/>
  <c r="U38" i="79"/>
  <c r="U39" i="79"/>
  <c r="U40" i="79"/>
  <c r="U41" i="79"/>
  <c r="U42" i="79"/>
  <c r="U43" i="79"/>
  <c r="U44" i="79"/>
  <c r="V15" i="79" a="1"/>
  <c r="V15" i="79"/>
  <c r="V16" i="79" a="1"/>
  <c r="V16" i="79"/>
  <c r="V17" i="79" a="1"/>
  <c r="V18" i="79" a="1"/>
  <c r="V19" i="79" a="1"/>
  <c r="V20" i="79" a="1"/>
  <c r="V21" i="79" a="1"/>
  <c r="V22" i="79" a="1"/>
  <c r="V23" i="79" a="1"/>
  <c r="V24" i="79" a="1"/>
  <c r="V25" i="79" a="1"/>
  <c r="V26" i="79" a="1"/>
  <c r="V27" i="79" a="1"/>
  <c r="V28" i="79" a="1"/>
  <c r="V29" i="79" a="1"/>
  <c r="V30" i="79" a="1"/>
  <c r="V31" i="79" a="1"/>
  <c r="V32" i="79" a="1"/>
  <c r="V33" i="79" a="1"/>
  <c r="V34" i="79" a="1"/>
  <c r="V35" i="79" a="1"/>
  <c r="V36" i="79" a="1"/>
  <c r="V37" i="79" a="1"/>
  <c r="V38" i="79" a="1"/>
  <c r="V39" i="79" a="1"/>
  <c r="V40" i="79" a="1"/>
  <c r="V41" i="79" a="1"/>
  <c r="V42" i="79" a="1"/>
  <c r="V43" i="79" a="1"/>
  <c r="L44" i="79"/>
  <c r="K44" i="79"/>
  <c r="T44" i="79"/>
  <c r="V44" i="79" a="1"/>
  <c r="V17" i="79"/>
  <c r="V18" i="79"/>
  <c r="V19" i="79"/>
  <c r="V20" i="79"/>
  <c r="V21" i="79"/>
  <c r="V22" i="79"/>
  <c r="V23" i="79"/>
  <c r="V24" i="79"/>
  <c r="V25" i="79"/>
  <c r="V26" i="79"/>
  <c r="V27" i="79"/>
  <c r="V28" i="79"/>
  <c r="V29" i="79"/>
  <c r="V30" i="79"/>
  <c r="V31" i="79"/>
  <c r="V32" i="79"/>
  <c r="V33" i="79"/>
  <c r="V34" i="79"/>
  <c r="V35" i="79"/>
  <c r="V36" i="79"/>
  <c r="V37" i="79"/>
  <c r="V38" i="79"/>
  <c r="V39" i="79"/>
  <c r="V40" i="79"/>
  <c r="V41" i="79"/>
  <c r="V42" i="79"/>
  <c r="V43" i="79"/>
  <c r="V44" i="79"/>
  <c r="W15" i="79" a="1"/>
  <c r="W15" i="79"/>
  <c r="W16" i="79" a="1"/>
  <c r="W16" i="79"/>
  <c r="W17" i="79" a="1"/>
  <c r="W18" i="79" a="1"/>
  <c r="W19" i="79" a="1"/>
  <c r="W20" i="79" a="1"/>
  <c r="W21" i="79" a="1"/>
  <c r="W22" i="79" a="1"/>
  <c r="W23" i="79" a="1"/>
  <c r="W24" i="79" a="1"/>
  <c r="W25" i="79" a="1"/>
  <c r="W26" i="79" a="1"/>
  <c r="W27" i="79" a="1"/>
  <c r="W28" i="79" a="1"/>
  <c r="W29" i="79" a="1"/>
  <c r="W30" i="79" a="1"/>
  <c r="W31" i="79" a="1"/>
  <c r="W32" i="79" a="1"/>
  <c r="W33" i="79" a="1"/>
  <c r="W34" i="79" a="1"/>
  <c r="W35" i="79" a="1"/>
  <c r="W36" i="79" a="1"/>
  <c r="W37" i="79" a="1"/>
  <c r="W38" i="79" a="1"/>
  <c r="W39" i="79" a="1"/>
  <c r="W40" i="79" a="1"/>
  <c r="W41" i="79" a="1"/>
  <c r="W42" i="79" a="1"/>
  <c r="W43" i="79" a="1"/>
  <c r="W44" i="79" a="1"/>
  <c r="W17" i="79"/>
  <c r="W18" i="79"/>
  <c r="W19" i="79"/>
  <c r="W20" i="79"/>
  <c r="W21" i="79"/>
  <c r="W22" i="79"/>
  <c r="W23" i="79"/>
  <c r="W24" i="79"/>
  <c r="W25" i="79"/>
  <c r="W26" i="79"/>
  <c r="W27" i="79"/>
  <c r="W28" i="79"/>
  <c r="W29" i="79"/>
  <c r="W30" i="79"/>
  <c r="W31" i="79"/>
  <c r="W32" i="79"/>
  <c r="W33" i="79"/>
  <c r="W34" i="79"/>
  <c r="W35" i="79"/>
  <c r="W36" i="79"/>
  <c r="W37" i="79"/>
  <c r="W38" i="79"/>
  <c r="W39" i="79"/>
  <c r="W40" i="79"/>
  <c r="W41" i="79"/>
  <c r="W42" i="79"/>
  <c r="W43" i="79"/>
  <c r="W44" i="79"/>
  <c r="W51" i="79"/>
  <c r="AH14" i="79"/>
  <c r="AH15" i="79"/>
  <c r="AH16" i="79"/>
  <c r="AH17" i="79"/>
  <c r="AH18" i="79"/>
  <c r="AH19" i="79"/>
  <c r="AH20" i="79"/>
  <c r="AH21" i="79"/>
  <c r="AH22" i="79"/>
  <c r="AH23" i="79"/>
  <c r="AH24" i="79"/>
  <c r="AH25" i="79"/>
  <c r="AH26" i="79"/>
  <c r="AH27" i="79"/>
  <c r="AH28" i="79"/>
  <c r="AH29" i="79"/>
  <c r="AH30" i="79"/>
  <c r="AH31" i="79"/>
  <c r="AH32" i="79"/>
  <c r="AH33" i="79"/>
  <c r="AH34" i="79"/>
  <c r="AH35" i="79"/>
  <c r="AH36" i="79"/>
  <c r="AH37" i="79"/>
  <c r="AH38" i="79"/>
  <c r="AH39" i="79"/>
  <c r="AH40" i="79"/>
  <c r="AH41" i="79"/>
  <c r="AH42" i="79"/>
  <c r="AH43" i="79"/>
  <c r="AH44" i="79"/>
  <c r="L63" i="79"/>
  <c r="L62" i="79"/>
  <c r="AF15" i="79"/>
  <c r="AG15" i="79"/>
  <c r="AF16" i="79"/>
  <c r="AG16" i="79"/>
  <c r="AF17" i="79"/>
  <c r="AG17" i="79"/>
  <c r="AF18" i="79"/>
  <c r="AG18" i="79"/>
  <c r="AF19" i="79"/>
  <c r="AG19" i="79"/>
  <c r="AF20" i="79"/>
  <c r="AG20" i="79"/>
  <c r="AF21" i="79"/>
  <c r="AG21" i="79"/>
  <c r="AF22" i="79"/>
  <c r="AG22" i="79"/>
  <c r="AF23" i="79"/>
  <c r="AG23" i="79"/>
  <c r="AF24" i="79"/>
  <c r="AG24" i="79"/>
  <c r="AF25" i="79"/>
  <c r="AG25" i="79"/>
  <c r="AF26" i="79"/>
  <c r="AG26" i="79"/>
  <c r="AF27" i="79"/>
  <c r="AG27" i="79"/>
  <c r="AF28" i="79"/>
  <c r="AG28" i="79"/>
  <c r="AF29" i="79"/>
  <c r="AG29" i="79"/>
  <c r="AF30" i="79"/>
  <c r="AG30" i="79"/>
  <c r="AF31" i="79"/>
  <c r="AG31" i="79"/>
  <c r="AF32" i="79"/>
  <c r="AG32" i="79"/>
  <c r="AF33" i="79"/>
  <c r="AG33" i="79"/>
  <c r="AF34" i="79"/>
  <c r="AG34" i="79"/>
  <c r="AF35" i="79"/>
  <c r="AG35" i="79"/>
  <c r="AF36" i="79"/>
  <c r="AG36" i="79"/>
  <c r="AF37" i="79"/>
  <c r="AG37" i="79"/>
  <c r="AF38" i="79"/>
  <c r="AG38" i="79"/>
  <c r="AF39" i="79"/>
  <c r="AG39" i="79"/>
  <c r="AF40" i="79"/>
  <c r="AG40" i="79"/>
  <c r="AF41" i="79"/>
  <c r="AG41" i="79"/>
  <c r="AF42" i="79"/>
  <c r="AG42" i="79"/>
  <c r="AF43" i="79"/>
  <c r="AG43" i="79"/>
  <c r="AF44" i="79"/>
  <c r="AG44" i="79"/>
  <c r="AF14" i="79"/>
  <c r="AG14" i="79"/>
  <c r="K52" i="79"/>
  <c r="U53" i="79"/>
  <c r="V53" i="79"/>
  <c r="X15" i="79" a="1"/>
  <c r="X15" i="79"/>
  <c r="X16" i="79" a="1"/>
  <c r="X16" i="79"/>
  <c r="X17" i="79" a="1"/>
  <c r="X18" i="79" a="1"/>
  <c r="X19" i="79" a="1"/>
  <c r="X20" i="79" a="1"/>
  <c r="X21" i="79" a="1"/>
  <c r="X22" i="79" a="1"/>
  <c r="X23" i="79" a="1"/>
  <c r="X24" i="79" a="1"/>
  <c r="X25" i="79" a="1"/>
  <c r="X26" i="79" a="1"/>
  <c r="X27" i="79" a="1"/>
  <c r="X28" i="79" a="1"/>
  <c r="X29" i="79" a="1"/>
  <c r="X30" i="79" a="1"/>
  <c r="X31" i="79" a="1"/>
  <c r="X32" i="79" a="1"/>
  <c r="X33" i="79" a="1"/>
  <c r="X34" i="79" a="1"/>
  <c r="X35" i="79" a="1"/>
  <c r="X36" i="79" a="1"/>
  <c r="X37" i="79" a="1"/>
  <c r="X38" i="79" a="1"/>
  <c r="X39" i="79" a="1"/>
  <c r="X40" i="79" a="1"/>
  <c r="X41" i="79" a="1"/>
  <c r="X42" i="79" a="1"/>
  <c r="X43" i="79" a="1"/>
  <c r="X44" i="79" a="1"/>
  <c r="X17" i="79"/>
  <c r="X18" i="79"/>
  <c r="X19" i="79"/>
  <c r="X20" i="79"/>
  <c r="X21" i="79"/>
  <c r="X22" i="79"/>
  <c r="X23" i="79"/>
  <c r="X24" i="79"/>
  <c r="X25" i="79"/>
  <c r="X26" i="79"/>
  <c r="X27" i="79"/>
  <c r="X28" i="79"/>
  <c r="X29" i="79"/>
  <c r="X30" i="79"/>
  <c r="X31" i="79"/>
  <c r="X32" i="79"/>
  <c r="X33" i="79"/>
  <c r="X34" i="79"/>
  <c r="X35" i="79"/>
  <c r="X36" i="79"/>
  <c r="X37" i="79"/>
  <c r="X38" i="79"/>
  <c r="X39" i="79"/>
  <c r="X40" i="79"/>
  <c r="X41" i="79"/>
  <c r="X42" i="79"/>
  <c r="X43" i="79"/>
  <c r="X44" i="79"/>
  <c r="X53" i="79"/>
  <c r="Y15" i="79" a="1"/>
  <c r="Y15" i="79"/>
  <c r="Y16" i="79" a="1"/>
  <c r="Y16" i="79"/>
  <c r="Y17" i="79" a="1"/>
  <c r="Y18" i="79" a="1"/>
  <c r="Y19" i="79" a="1"/>
  <c r="Y20" i="79" a="1"/>
  <c r="Y21" i="79" a="1"/>
  <c r="Y22" i="79" a="1"/>
  <c r="Y23" i="79" a="1"/>
  <c r="Y24" i="79" a="1"/>
  <c r="Y25" i="79" a="1"/>
  <c r="Y26" i="79" a="1"/>
  <c r="Y27" i="79" a="1"/>
  <c r="Y28" i="79" a="1"/>
  <c r="Y29" i="79" a="1"/>
  <c r="Y30" i="79" a="1"/>
  <c r="Y31" i="79" a="1"/>
  <c r="Y32" i="79" a="1"/>
  <c r="Y33" i="79" a="1"/>
  <c r="Y34" i="79" a="1"/>
  <c r="Y35" i="79" a="1"/>
  <c r="Y36" i="79" a="1"/>
  <c r="Y37" i="79" a="1"/>
  <c r="Y38" i="79" a="1"/>
  <c r="Y39" i="79" a="1"/>
  <c r="Y40" i="79" a="1"/>
  <c r="Y41" i="79" a="1"/>
  <c r="Y42" i="79" a="1"/>
  <c r="Y43" i="79" a="1"/>
  <c r="Y44" i="79" a="1"/>
  <c r="Y17" i="79"/>
  <c r="Y18" i="79"/>
  <c r="Y19" i="79"/>
  <c r="Y20" i="79"/>
  <c r="Y21" i="79"/>
  <c r="Y22" i="79"/>
  <c r="Y23" i="79"/>
  <c r="Y24" i="79"/>
  <c r="Y25" i="79"/>
  <c r="Y26" i="79"/>
  <c r="Y27" i="79"/>
  <c r="Y28" i="79"/>
  <c r="Y29" i="79"/>
  <c r="Y30" i="79"/>
  <c r="Y31" i="79"/>
  <c r="Y32" i="79"/>
  <c r="Y33" i="79"/>
  <c r="Y34" i="79"/>
  <c r="Y35" i="79"/>
  <c r="Y36" i="79"/>
  <c r="Y37" i="79"/>
  <c r="Y38" i="79"/>
  <c r="Y39" i="79"/>
  <c r="Y40" i="79"/>
  <c r="Y41" i="79"/>
  <c r="Y42" i="79"/>
  <c r="Y43" i="79"/>
  <c r="Y44" i="79"/>
  <c r="Y53" i="79"/>
  <c r="B13" i="79"/>
  <c r="H78" i="79"/>
  <c r="H81" i="79"/>
  <c r="H82" i="79"/>
  <c r="H83" i="79"/>
  <c r="H84" i="79"/>
  <c r="H105" i="79"/>
  <c r="H108" i="79"/>
  <c r="H109" i="79"/>
  <c r="H110" i="79"/>
  <c r="H111" i="79"/>
  <c r="H79" i="79"/>
  <c r="H80" i="79"/>
  <c r="H87" i="79"/>
  <c r="H88" i="79"/>
  <c r="H89" i="79"/>
  <c r="H90" i="79"/>
  <c r="H91" i="79"/>
  <c r="H92" i="79"/>
  <c r="H93" i="79"/>
  <c r="H94" i="79"/>
  <c r="H95" i="79"/>
  <c r="H96" i="79"/>
  <c r="H97" i="79"/>
  <c r="H98" i="79"/>
  <c r="H99" i="79"/>
  <c r="H100" i="79"/>
  <c r="H101" i="79"/>
  <c r="H102" i="79"/>
  <c r="H103" i="79"/>
  <c r="H106" i="79"/>
  <c r="H107" i="79"/>
  <c r="K53" i="79"/>
  <c r="Q14" i="79"/>
  <c r="Q15" i="79"/>
  <c r="Q16" i="79"/>
  <c r="Q17" i="79"/>
  <c r="Q18" i="79"/>
  <c r="Q19" i="79"/>
  <c r="Q20" i="79"/>
  <c r="Q21" i="79"/>
  <c r="Q22" i="79"/>
  <c r="Q23" i="79"/>
  <c r="Q24" i="79"/>
  <c r="Q25" i="79"/>
  <c r="Q26" i="79"/>
  <c r="Q27" i="79"/>
  <c r="Q28" i="79"/>
  <c r="Q29" i="79"/>
  <c r="Q30" i="79"/>
  <c r="Q31" i="79"/>
  <c r="Q32" i="79"/>
  <c r="Q33" i="79"/>
  <c r="Q34" i="79"/>
  <c r="Q35" i="79"/>
  <c r="Q36" i="79"/>
  <c r="Q37" i="79"/>
  <c r="Q38" i="79"/>
  <c r="Q39" i="79"/>
  <c r="Q40" i="79"/>
  <c r="Q41" i="79"/>
  <c r="Q42" i="79"/>
  <c r="Q43" i="79"/>
  <c r="Q44" i="79"/>
  <c r="R14" i="79"/>
  <c r="R15" i="79"/>
  <c r="R16" i="79"/>
  <c r="R17" i="79"/>
  <c r="R18" i="79"/>
  <c r="R19" i="79"/>
  <c r="R20" i="79"/>
  <c r="R21" i="79"/>
  <c r="R22" i="79"/>
  <c r="R23" i="79"/>
  <c r="R24" i="79"/>
  <c r="R25" i="79"/>
  <c r="R26" i="79"/>
  <c r="R27" i="79"/>
  <c r="R28" i="79"/>
  <c r="R29" i="79"/>
  <c r="R30" i="79"/>
  <c r="R31" i="79"/>
  <c r="R32" i="79"/>
  <c r="R33" i="79"/>
  <c r="R34" i="79"/>
  <c r="R35" i="79"/>
  <c r="R36" i="79"/>
  <c r="R37" i="79"/>
  <c r="R38" i="79"/>
  <c r="R39" i="79"/>
  <c r="R40" i="79"/>
  <c r="R41" i="79"/>
  <c r="R42" i="79"/>
  <c r="R43" i="79"/>
  <c r="R44" i="79"/>
  <c r="K57" i="79"/>
  <c r="L58" i="79"/>
  <c r="L51" i="79"/>
  <c r="D55" i="78"/>
  <c r="D56" i="78"/>
  <c r="D57" i="78"/>
  <c r="L74" i="78"/>
  <c r="H8" i="78"/>
  <c r="E13" i="78"/>
  <c r="AB14" i="78"/>
  <c r="AB15" i="78"/>
  <c r="AB16" i="78"/>
  <c r="AB17" i="78"/>
  <c r="AB18" i="78"/>
  <c r="AB19" i="78"/>
  <c r="AB20" i="78"/>
  <c r="AB21" i="78"/>
  <c r="AB22" i="78"/>
  <c r="AB23" i="78"/>
  <c r="AB24" i="78"/>
  <c r="AB25" i="78"/>
  <c r="AB26" i="78"/>
  <c r="AB27" i="78"/>
  <c r="AB28" i="78"/>
  <c r="AB29" i="78"/>
  <c r="AB30" i="78"/>
  <c r="AB31" i="78"/>
  <c r="AB32" i="78"/>
  <c r="AB33" i="78"/>
  <c r="AB34" i="78"/>
  <c r="AB35" i="78"/>
  <c r="AB36" i="78"/>
  <c r="AB37" i="78"/>
  <c r="AB38" i="78"/>
  <c r="AB39" i="78"/>
  <c r="AB40" i="78"/>
  <c r="AB41" i="78"/>
  <c r="AB42" i="78"/>
  <c r="AB43" i="78"/>
  <c r="AB44" i="78"/>
  <c r="D13" i="78"/>
  <c r="M13" i="78"/>
  <c r="L13" i="78"/>
  <c r="L14" i="78"/>
  <c r="K14" i="78"/>
  <c r="T14" i="78"/>
  <c r="U15" i="78" a="1"/>
  <c r="U15" i="78"/>
  <c r="L15" i="78"/>
  <c r="K15" i="78"/>
  <c r="T15" i="78"/>
  <c r="U16" i="78" a="1"/>
  <c r="U16" i="78"/>
  <c r="L16" i="78"/>
  <c r="K16" i="78"/>
  <c r="T16" i="78"/>
  <c r="U17" i="78" a="1"/>
  <c r="L17" i="78"/>
  <c r="K17" i="78"/>
  <c r="T17" i="78"/>
  <c r="U18" i="78" a="1"/>
  <c r="L18" i="78"/>
  <c r="K18" i="78"/>
  <c r="T18" i="78"/>
  <c r="U19" i="78" a="1"/>
  <c r="L19" i="78"/>
  <c r="K19" i="78"/>
  <c r="T19" i="78"/>
  <c r="U20" i="78" a="1"/>
  <c r="L20" i="78"/>
  <c r="K20" i="78"/>
  <c r="T20" i="78"/>
  <c r="U21" i="78" a="1"/>
  <c r="L21" i="78"/>
  <c r="K21" i="78"/>
  <c r="T21" i="78"/>
  <c r="U22" i="78" a="1"/>
  <c r="L22" i="78"/>
  <c r="K22" i="78"/>
  <c r="T22" i="78"/>
  <c r="U23" i="78" a="1"/>
  <c r="L23" i="78"/>
  <c r="K23" i="78"/>
  <c r="T23" i="78"/>
  <c r="U24" i="78" a="1"/>
  <c r="L24" i="78"/>
  <c r="K24" i="78"/>
  <c r="T24" i="78"/>
  <c r="U25" i="78" a="1"/>
  <c r="L25" i="78"/>
  <c r="K25" i="78"/>
  <c r="T25" i="78"/>
  <c r="U26" i="78" a="1"/>
  <c r="L26" i="78"/>
  <c r="K26" i="78"/>
  <c r="T26" i="78"/>
  <c r="U27" i="78" a="1"/>
  <c r="L27" i="78"/>
  <c r="K27" i="78"/>
  <c r="T27" i="78"/>
  <c r="U28" i="78" a="1"/>
  <c r="L28" i="78"/>
  <c r="K28" i="78"/>
  <c r="T28" i="78"/>
  <c r="U29" i="78" a="1"/>
  <c r="L29" i="78"/>
  <c r="K29" i="78"/>
  <c r="T29" i="78"/>
  <c r="U30" i="78" a="1"/>
  <c r="L30" i="78"/>
  <c r="K30" i="78"/>
  <c r="T30" i="78"/>
  <c r="U31" i="78" a="1"/>
  <c r="L31" i="78"/>
  <c r="K31" i="78"/>
  <c r="T31" i="78"/>
  <c r="U32" i="78" a="1"/>
  <c r="L32" i="78"/>
  <c r="K32" i="78"/>
  <c r="T32" i="78"/>
  <c r="U33" i="78" a="1"/>
  <c r="L33" i="78"/>
  <c r="K33" i="78"/>
  <c r="T33" i="78"/>
  <c r="U34" i="78" a="1"/>
  <c r="L34" i="78"/>
  <c r="K34" i="78"/>
  <c r="T34" i="78"/>
  <c r="U35" i="78" a="1"/>
  <c r="L35" i="78"/>
  <c r="K35" i="78"/>
  <c r="T35" i="78"/>
  <c r="U36" i="78" a="1"/>
  <c r="L36" i="78"/>
  <c r="K36" i="78"/>
  <c r="T36" i="78"/>
  <c r="U37" i="78" a="1"/>
  <c r="L37" i="78"/>
  <c r="K37" i="78"/>
  <c r="T37" i="78"/>
  <c r="U38" i="78" a="1"/>
  <c r="L38" i="78"/>
  <c r="K38" i="78"/>
  <c r="T38" i="78"/>
  <c r="U39" i="78" a="1"/>
  <c r="L39" i="78"/>
  <c r="K39" i="78"/>
  <c r="T39" i="78"/>
  <c r="U40" i="78" a="1"/>
  <c r="L40" i="78"/>
  <c r="K40" i="78"/>
  <c r="T40" i="78"/>
  <c r="U41" i="78" a="1"/>
  <c r="L41" i="78"/>
  <c r="K41" i="78"/>
  <c r="T41" i="78"/>
  <c r="U42" i="78" a="1"/>
  <c r="L42" i="78"/>
  <c r="K42" i="78"/>
  <c r="T42" i="78"/>
  <c r="U43" i="78" a="1"/>
  <c r="L43" i="78"/>
  <c r="K43" i="78"/>
  <c r="T43" i="78"/>
  <c r="U44" i="78" a="1"/>
  <c r="U17" i="78"/>
  <c r="U18" i="78"/>
  <c r="U19" i="78"/>
  <c r="U20" i="78"/>
  <c r="U21" i="78"/>
  <c r="U22" i="78"/>
  <c r="U23" i="78"/>
  <c r="U24" i="78"/>
  <c r="U25" i="78"/>
  <c r="U26" i="78"/>
  <c r="U27" i="78"/>
  <c r="U28" i="78"/>
  <c r="U29" i="78"/>
  <c r="U30" i="78"/>
  <c r="U31" i="78"/>
  <c r="U32" i="78"/>
  <c r="U33" i="78"/>
  <c r="U34" i="78"/>
  <c r="U35" i="78"/>
  <c r="U36" i="78"/>
  <c r="U37" i="78"/>
  <c r="U38" i="78"/>
  <c r="U39" i="78"/>
  <c r="U40" i="78"/>
  <c r="U41" i="78"/>
  <c r="U42" i="78"/>
  <c r="U43" i="78"/>
  <c r="U44" i="78"/>
  <c r="V15" i="78" a="1"/>
  <c r="V15" i="78"/>
  <c r="V16" i="78" a="1"/>
  <c r="V16" i="78"/>
  <c r="V17" i="78" a="1"/>
  <c r="V18" i="78" a="1"/>
  <c r="V19" i="78" a="1"/>
  <c r="V20" i="78" a="1"/>
  <c r="V21" i="78" a="1"/>
  <c r="V22" i="78" a="1"/>
  <c r="V23" i="78" a="1"/>
  <c r="V24" i="78" a="1"/>
  <c r="V25" i="78" a="1"/>
  <c r="V26" i="78" a="1"/>
  <c r="V27" i="78" a="1"/>
  <c r="V28" i="78" a="1"/>
  <c r="V29" i="78" a="1"/>
  <c r="V30" i="78" a="1"/>
  <c r="V31" i="78" a="1"/>
  <c r="V32" i="78" a="1"/>
  <c r="V33" i="78" a="1"/>
  <c r="V34" i="78" a="1"/>
  <c r="V35" i="78" a="1"/>
  <c r="V36" i="78" a="1"/>
  <c r="V37" i="78" a="1"/>
  <c r="V38" i="78" a="1"/>
  <c r="V39" i="78" a="1"/>
  <c r="V40" i="78" a="1"/>
  <c r="V41" i="78" a="1"/>
  <c r="V42" i="78" a="1"/>
  <c r="V43" i="78" a="1"/>
  <c r="L44" i="78"/>
  <c r="K44" i="78"/>
  <c r="T44" i="78"/>
  <c r="V44" i="78" a="1"/>
  <c r="V17" i="78"/>
  <c r="V18" i="78"/>
  <c r="V19" i="78"/>
  <c r="V20" i="78"/>
  <c r="V21" i="78"/>
  <c r="V22" i="78"/>
  <c r="V23" i="78"/>
  <c r="V24" i="78"/>
  <c r="V25" i="78"/>
  <c r="V26" i="78"/>
  <c r="V27" i="78"/>
  <c r="V28" i="78"/>
  <c r="V29" i="78"/>
  <c r="V30" i="78"/>
  <c r="V31" i="78"/>
  <c r="V32" i="78"/>
  <c r="V33" i="78"/>
  <c r="V34" i="78"/>
  <c r="V35" i="78"/>
  <c r="V36" i="78"/>
  <c r="V37" i="78"/>
  <c r="V38" i="78"/>
  <c r="V39" i="78"/>
  <c r="V40" i="78"/>
  <c r="V41" i="78"/>
  <c r="V42" i="78"/>
  <c r="V43" i="78"/>
  <c r="V44" i="78"/>
  <c r="W15" i="78" a="1"/>
  <c r="W15" i="78"/>
  <c r="W16" i="78" a="1"/>
  <c r="W16" i="78"/>
  <c r="W17" i="78" a="1"/>
  <c r="W18" i="78" a="1"/>
  <c r="W19" i="78" a="1"/>
  <c r="W20" i="78" a="1"/>
  <c r="W21" i="78" a="1"/>
  <c r="W22" i="78" a="1"/>
  <c r="W23" i="78" a="1"/>
  <c r="W24" i="78" a="1"/>
  <c r="W25" i="78" a="1"/>
  <c r="W26" i="78" a="1"/>
  <c r="W27" i="78" a="1"/>
  <c r="W28" i="78" a="1"/>
  <c r="W29" i="78" a="1"/>
  <c r="W30" i="78" a="1"/>
  <c r="W31" i="78" a="1"/>
  <c r="W32" i="78" a="1"/>
  <c r="W33" i="78" a="1"/>
  <c r="W34" i="78" a="1"/>
  <c r="W35" i="78" a="1"/>
  <c r="W36" i="78" a="1"/>
  <c r="W37" i="78" a="1"/>
  <c r="W38" i="78" a="1"/>
  <c r="W39" i="78" a="1"/>
  <c r="W40" i="78" a="1"/>
  <c r="W41" i="78" a="1"/>
  <c r="W42" i="78" a="1"/>
  <c r="W43" i="78" a="1"/>
  <c r="W44" i="78" a="1"/>
  <c r="W17" i="78"/>
  <c r="W18" i="78"/>
  <c r="W19" i="78"/>
  <c r="W20" i="78"/>
  <c r="W21" i="78"/>
  <c r="W22" i="78"/>
  <c r="W23" i="78"/>
  <c r="W24" i="78"/>
  <c r="W25" i="78"/>
  <c r="W26" i="78"/>
  <c r="W27" i="78"/>
  <c r="W28" i="78"/>
  <c r="W29" i="78"/>
  <c r="W30" i="78"/>
  <c r="W31" i="78"/>
  <c r="W32" i="78"/>
  <c r="W33" i="78"/>
  <c r="W34" i="78"/>
  <c r="W35" i="78"/>
  <c r="W36" i="78"/>
  <c r="W37" i="78"/>
  <c r="W38" i="78"/>
  <c r="W39" i="78"/>
  <c r="W40" i="78"/>
  <c r="W41" i="78"/>
  <c r="W42" i="78"/>
  <c r="W43" i="78"/>
  <c r="W44" i="78"/>
  <c r="W51" i="78"/>
  <c r="AH14" i="78"/>
  <c r="AH15" i="78"/>
  <c r="AH16" i="78"/>
  <c r="AH17" i="78"/>
  <c r="AH18" i="78"/>
  <c r="AH19" i="78"/>
  <c r="AH20" i="78"/>
  <c r="AH21" i="78"/>
  <c r="AH22" i="78"/>
  <c r="AH23" i="78"/>
  <c r="AH24" i="78"/>
  <c r="AH25" i="78"/>
  <c r="AH26" i="78"/>
  <c r="AH27" i="78"/>
  <c r="AH28" i="78"/>
  <c r="AH29" i="78"/>
  <c r="AH30" i="78"/>
  <c r="AH31" i="78"/>
  <c r="AH32" i="78"/>
  <c r="AH33" i="78"/>
  <c r="AH34" i="78"/>
  <c r="AH35" i="78"/>
  <c r="AH36" i="78"/>
  <c r="AH37" i="78"/>
  <c r="AH38" i="78"/>
  <c r="AH39" i="78"/>
  <c r="AH40" i="78"/>
  <c r="AH41" i="78"/>
  <c r="AH42" i="78"/>
  <c r="AH43" i="78"/>
  <c r="AH44" i="78"/>
  <c r="L63" i="78"/>
  <c r="L62" i="78"/>
  <c r="AF15" i="78"/>
  <c r="AG15" i="78"/>
  <c r="AF16" i="78"/>
  <c r="AG16" i="78"/>
  <c r="AF17" i="78"/>
  <c r="AG17" i="78"/>
  <c r="AF18" i="78"/>
  <c r="AG18" i="78"/>
  <c r="AF19" i="78"/>
  <c r="AG19" i="78"/>
  <c r="AF20" i="78"/>
  <c r="AG20" i="78"/>
  <c r="AF21" i="78"/>
  <c r="AG21" i="78"/>
  <c r="AF22" i="78"/>
  <c r="AG22" i="78"/>
  <c r="AF23" i="78"/>
  <c r="AG23" i="78"/>
  <c r="AF24" i="78"/>
  <c r="AG24" i="78"/>
  <c r="AF25" i="78"/>
  <c r="AG25" i="78"/>
  <c r="AF26" i="78"/>
  <c r="AG26" i="78"/>
  <c r="AF27" i="78"/>
  <c r="AG27" i="78"/>
  <c r="AF28" i="78"/>
  <c r="AG28" i="78"/>
  <c r="AF29" i="78"/>
  <c r="AG29" i="78"/>
  <c r="AF30" i="78"/>
  <c r="AG30" i="78"/>
  <c r="AF31" i="78"/>
  <c r="AG31" i="78"/>
  <c r="AF32" i="78"/>
  <c r="AG32" i="78"/>
  <c r="AF33" i="78"/>
  <c r="AG33" i="78"/>
  <c r="AF34" i="78"/>
  <c r="AG34" i="78"/>
  <c r="AF35" i="78"/>
  <c r="AG35" i="78"/>
  <c r="AF36" i="78"/>
  <c r="AG36" i="78"/>
  <c r="AF37" i="78"/>
  <c r="AG37" i="78"/>
  <c r="AF38" i="78"/>
  <c r="AG38" i="78"/>
  <c r="AF39" i="78"/>
  <c r="AG39" i="78"/>
  <c r="AF40" i="78"/>
  <c r="AG40" i="78"/>
  <c r="AF41" i="78"/>
  <c r="AG41" i="78"/>
  <c r="AF42" i="78"/>
  <c r="AG42" i="78"/>
  <c r="AF43" i="78"/>
  <c r="AG43" i="78"/>
  <c r="AF44" i="78"/>
  <c r="AG44" i="78"/>
  <c r="AF14" i="78"/>
  <c r="AG14" i="78"/>
  <c r="K52" i="78"/>
  <c r="U53" i="78"/>
  <c r="V53" i="78"/>
  <c r="X15" i="78" a="1"/>
  <c r="X15" i="78"/>
  <c r="X16" i="78" a="1"/>
  <c r="X16" i="78"/>
  <c r="X17" i="78" a="1"/>
  <c r="X18" i="78" a="1"/>
  <c r="X19" i="78" a="1"/>
  <c r="X20" i="78" a="1"/>
  <c r="X21" i="78" a="1"/>
  <c r="X22" i="78" a="1"/>
  <c r="X23" i="78" a="1"/>
  <c r="X24" i="78" a="1"/>
  <c r="X25" i="78" a="1"/>
  <c r="X26" i="78" a="1"/>
  <c r="X27" i="78" a="1"/>
  <c r="X28" i="78" a="1"/>
  <c r="X29" i="78" a="1"/>
  <c r="X30" i="78" a="1"/>
  <c r="X31" i="78" a="1"/>
  <c r="X32" i="78" a="1"/>
  <c r="X33" i="78" a="1"/>
  <c r="X34" i="78" a="1"/>
  <c r="X35" i="78" a="1"/>
  <c r="X36" i="78" a="1"/>
  <c r="X37" i="78" a="1"/>
  <c r="X38" i="78" a="1"/>
  <c r="X39" i="78" a="1"/>
  <c r="X40" i="78" a="1"/>
  <c r="X41" i="78" a="1"/>
  <c r="X42" i="78" a="1"/>
  <c r="X43" i="78" a="1"/>
  <c r="X44" i="78" a="1"/>
  <c r="X17" i="78"/>
  <c r="X18" i="78"/>
  <c r="X19" i="78"/>
  <c r="X20" i="78"/>
  <c r="X21" i="78"/>
  <c r="X22" i="78"/>
  <c r="X23" i="78"/>
  <c r="X24" i="78"/>
  <c r="X25" i="78"/>
  <c r="X26" i="78"/>
  <c r="X27" i="78"/>
  <c r="X28" i="78"/>
  <c r="X29" i="78"/>
  <c r="X30" i="78"/>
  <c r="X31" i="78"/>
  <c r="X32" i="78"/>
  <c r="X33" i="78"/>
  <c r="X34" i="78"/>
  <c r="X35" i="78"/>
  <c r="X36" i="78"/>
  <c r="X37" i="78"/>
  <c r="X38" i="78"/>
  <c r="X39" i="78"/>
  <c r="X40" i="78"/>
  <c r="X41" i="78"/>
  <c r="X42" i="78"/>
  <c r="X43" i="78"/>
  <c r="X44" i="78"/>
  <c r="X53" i="78"/>
  <c r="Y15" i="78" a="1"/>
  <c r="Y15" i="78"/>
  <c r="Y16" i="78" a="1"/>
  <c r="Y16" i="78"/>
  <c r="Y17" i="78" a="1"/>
  <c r="Y18" i="78" a="1"/>
  <c r="Y19" i="78" a="1"/>
  <c r="Y20" i="78" a="1"/>
  <c r="Y21" i="78" a="1"/>
  <c r="Y22" i="78" a="1"/>
  <c r="Y23" i="78" a="1"/>
  <c r="Y24" i="78" a="1"/>
  <c r="Y25" i="78" a="1"/>
  <c r="Y26" i="78" a="1"/>
  <c r="Y27" i="78" a="1"/>
  <c r="Y28" i="78" a="1"/>
  <c r="Y29" i="78" a="1"/>
  <c r="Y30" i="78" a="1"/>
  <c r="Y31" i="78" a="1"/>
  <c r="Y32" i="78" a="1"/>
  <c r="Y33" i="78" a="1"/>
  <c r="Y34" i="78" a="1"/>
  <c r="Y35" i="78" a="1"/>
  <c r="Y36" i="78" a="1"/>
  <c r="Y37" i="78" a="1"/>
  <c r="Y38" i="78" a="1"/>
  <c r="Y39" i="78" a="1"/>
  <c r="Y40" i="78" a="1"/>
  <c r="Y41" i="78" a="1"/>
  <c r="Y42" i="78" a="1"/>
  <c r="Y43" i="78" a="1"/>
  <c r="Y44" i="78" a="1"/>
  <c r="Y17" i="78"/>
  <c r="Y18" i="78"/>
  <c r="Y19" i="78"/>
  <c r="Y20" i="78"/>
  <c r="Y21" i="78"/>
  <c r="Y22" i="78"/>
  <c r="Y23" i="78"/>
  <c r="Y24" i="78"/>
  <c r="Y25" i="78"/>
  <c r="Y26" i="78"/>
  <c r="Y27" i="78"/>
  <c r="Y28" i="78"/>
  <c r="Y29" i="78"/>
  <c r="Y30" i="78"/>
  <c r="Y31" i="78"/>
  <c r="Y32" i="78"/>
  <c r="Y33" i="78"/>
  <c r="Y34" i="78"/>
  <c r="Y35" i="78"/>
  <c r="Y36" i="78"/>
  <c r="Y37" i="78"/>
  <c r="Y38" i="78"/>
  <c r="Y39" i="78"/>
  <c r="Y40" i="78"/>
  <c r="Y41" i="78"/>
  <c r="Y42" i="78"/>
  <c r="Y43" i="78"/>
  <c r="Y44" i="78"/>
  <c r="Y53" i="78"/>
  <c r="B13" i="78"/>
  <c r="H78" i="78"/>
  <c r="H81" i="78"/>
  <c r="H82" i="78"/>
  <c r="H83" i="78"/>
  <c r="H84" i="78"/>
  <c r="H105" i="78"/>
  <c r="H108" i="78"/>
  <c r="H109" i="78"/>
  <c r="H110" i="78"/>
  <c r="H111" i="78"/>
  <c r="H79" i="78"/>
  <c r="H80" i="78"/>
  <c r="H87" i="78"/>
  <c r="H88" i="78"/>
  <c r="H89" i="78"/>
  <c r="H90" i="78"/>
  <c r="H91" i="78"/>
  <c r="H92" i="78"/>
  <c r="H93" i="78"/>
  <c r="H94" i="78"/>
  <c r="H95" i="78"/>
  <c r="H96" i="78"/>
  <c r="H97" i="78"/>
  <c r="H98" i="78"/>
  <c r="H99" i="78"/>
  <c r="H100" i="78"/>
  <c r="H101" i="78"/>
  <c r="H102" i="78"/>
  <c r="H103" i="78"/>
  <c r="H106" i="78"/>
  <c r="H107" i="78"/>
  <c r="K53" i="78"/>
  <c r="Q14" i="78"/>
  <c r="Q15" i="78"/>
  <c r="Q16" i="78"/>
  <c r="Q17" i="78"/>
  <c r="Q18" i="78"/>
  <c r="Q19" i="78"/>
  <c r="Q20" i="78"/>
  <c r="Q21" i="78"/>
  <c r="Q22" i="78"/>
  <c r="Q23" i="78"/>
  <c r="Q24" i="78"/>
  <c r="Q25" i="78"/>
  <c r="Q26" i="78"/>
  <c r="Q27" i="78"/>
  <c r="Q28" i="78"/>
  <c r="Q29" i="78"/>
  <c r="Q30" i="78"/>
  <c r="Q31" i="78"/>
  <c r="Q32" i="78"/>
  <c r="Q33" i="78"/>
  <c r="Q34" i="78"/>
  <c r="Q35" i="78"/>
  <c r="Q36" i="78"/>
  <c r="Q37" i="78"/>
  <c r="Q38" i="78"/>
  <c r="Q39" i="78"/>
  <c r="Q40" i="78"/>
  <c r="Q41" i="78"/>
  <c r="Q42" i="78"/>
  <c r="Q43" i="78"/>
  <c r="Q44" i="78"/>
  <c r="R14" i="78"/>
  <c r="R15" i="78"/>
  <c r="R16" i="78"/>
  <c r="R17" i="78"/>
  <c r="R18" i="78"/>
  <c r="R19" i="78"/>
  <c r="R20" i="78"/>
  <c r="R21" i="78"/>
  <c r="R22" i="78"/>
  <c r="R23" i="78"/>
  <c r="R24" i="78"/>
  <c r="R25" i="78"/>
  <c r="R26" i="78"/>
  <c r="R27" i="78"/>
  <c r="R28" i="78"/>
  <c r="R29" i="78"/>
  <c r="R30" i="78"/>
  <c r="R31" i="78"/>
  <c r="R32" i="78"/>
  <c r="R33" i="78"/>
  <c r="R34" i="78"/>
  <c r="R35" i="78"/>
  <c r="R36" i="78"/>
  <c r="R37" i="78"/>
  <c r="R38" i="78"/>
  <c r="R39" i="78"/>
  <c r="R40" i="78"/>
  <c r="R41" i="78"/>
  <c r="R42" i="78"/>
  <c r="R43" i="78"/>
  <c r="R44" i="78"/>
  <c r="K57" i="78"/>
  <c r="L58" i="78"/>
  <c r="L51" i="78"/>
  <c r="D55" i="77"/>
  <c r="D56" i="77"/>
  <c r="D57" i="77"/>
  <c r="L74" i="77"/>
  <c r="H8" i="77"/>
  <c r="E13" i="77"/>
  <c r="AB14" i="77"/>
  <c r="AB15" i="77"/>
  <c r="AB16" i="77"/>
  <c r="AB17" i="77"/>
  <c r="AB18" i="77"/>
  <c r="AB19" i="77"/>
  <c r="AB20" i="77"/>
  <c r="AB21" i="77"/>
  <c r="AB22" i="77"/>
  <c r="AB23" i="77"/>
  <c r="AB24" i="77"/>
  <c r="AB25" i="77"/>
  <c r="AB26" i="77"/>
  <c r="AB27" i="77"/>
  <c r="AB28" i="77"/>
  <c r="AB29" i="77"/>
  <c r="AB30" i="77"/>
  <c r="AB31" i="77"/>
  <c r="AB32" i="77"/>
  <c r="AB33" i="77"/>
  <c r="AB34" i="77"/>
  <c r="AB35" i="77"/>
  <c r="AB36" i="77"/>
  <c r="AB37" i="77"/>
  <c r="AB38" i="77"/>
  <c r="AB39" i="77"/>
  <c r="AB40" i="77"/>
  <c r="AB41" i="77"/>
  <c r="AB42" i="77"/>
  <c r="AB43" i="77"/>
  <c r="AB44" i="77"/>
  <c r="D13" i="77"/>
  <c r="M13" i="77"/>
  <c r="L13" i="77"/>
  <c r="L14" i="77"/>
  <c r="K14" i="77"/>
  <c r="T14" i="77"/>
  <c r="U15" i="77" a="1"/>
  <c r="U15" i="77"/>
  <c r="L15" i="77"/>
  <c r="K15" i="77"/>
  <c r="T15" i="77"/>
  <c r="U16" i="77" a="1"/>
  <c r="U16" i="77"/>
  <c r="L16" i="77"/>
  <c r="K16" i="77"/>
  <c r="T16" i="77"/>
  <c r="U17" i="77" a="1"/>
  <c r="L17" i="77"/>
  <c r="K17" i="77"/>
  <c r="T17" i="77"/>
  <c r="U18" i="77" a="1"/>
  <c r="L18" i="77"/>
  <c r="K18" i="77"/>
  <c r="T18" i="77"/>
  <c r="U19" i="77" a="1"/>
  <c r="L19" i="77"/>
  <c r="K19" i="77"/>
  <c r="T19" i="77"/>
  <c r="U20" i="77" a="1"/>
  <c r="L20" i="77"/>
  <c r="K20" i="77"/>
  <c r="T20" i="77"/>
  <c r="U21" i="77" a="1"/>
  <c r="L21" i="77"/>
  <c r="K21" i="77"/>
  <c r="T21" i="77"/>
  <c r="U22" i="77" a="1"/>
  <c r="L22" i="77"/>
  <c r="K22" i="77"/>
  <c r="T22" i="77"/>
  <c r="U23" i="77" a="1"/>
  <c r="L23" i="77"/>
  <c r="K23" i="77"/>
  <c r="T23" i="77"/>
  <c r="U24" i="77" a="1"/>
  <c r="L24" i="77"/>
  <c r="K24" i="77"/>
  <c r="T24" i="77"/>
  <c r="U25" i="77" a="1"/>
  <c r="L25" i="77"/>
  <c r="K25" i="77"/>
  <c r="T25" i="77"/>
  <c r="U26" i="77" a="1"/>
  <c r="L26" i="77"/>
  <c r="K26" i="77"/>
  <c r="T26" i="77"/>
  <c r="U27" i="77" a="1"/>
  <c r="L27" i="77"/>
  <c r="K27" i="77"/>
  <c r="T27" i="77"/>
  <c r="U28" i="77" a="1"/>
  <c r="L28" i="77"/>
  <c r="K28" i="77"/>
  <c r="T28" i="77"/>
  <c r="U29" i="77" a="1"/>
  <c r="L29" i="77"/>
  <c r="K29" i="77"/>
  <c r="T29" i="77"/>
  <c r="U30" i="77" a="1"/>
  <c r="L30" i="77"/>
  <c r="K30" i="77"/>
  <c r="T30" i="77"/>
  <c r="U31" i="77" a="1"/>
  <c r="L31" i="77"/>
  <c r="K31" i="77"/>
  <c r="T31" i="77"/>
  <c r="U32" i="77" a="1"/>
  <c r="L32" i="77"/>
  <c r="K32" i="77"/>
  <c r="T32" i="77"/>
  <c r="U33" i="77" a="1"/>
  <c r="L33" i="77"/>
  <c r="K33" i="77"/>
  <c r="T33" i="77"/>
  <c r="U34" i="77" a="1"/>
  <c r="L34" i="77"/>
  <c r="K34" i="77"/>
  <c r="T34" i="77"/>
  <c r="U35" i="77" a="1"/>
  <c r="L35" i="77"/>
  <c r="K35" i="77"/>
  <c r="T35" i="77"/>
  <c r="U36" i="77" a="1"/>
  <c r="L36" i="77"/>
  <c r="K36" i="77"/>
  <c r="T36" i="77"/>
  <c r="U37" i="77" a="1"/>
  <c r="L37" i="77"/>
  <c r="K37" i="77"/>
  <c r="T37" i="77"/>
  <c r="U38" i="77" a="1"/>
  <c r="L38" i="77"/>
  <c r="K38" i="77"/>
  <c r="T38" i="77"/>
  <c r="U39" i="77" a="1"/>
  <c r="L39" i="77"/>
  <c r="K39" i="77"/>
  <c r="T39" i="77"/>
  <c r="U40" i="77" a="1"/>
  <c r="L40" i="77"/>
  <c r="K40" i="77"/>
  <c r="T40" i="77"/>
  <c r="U41" i="77" a="1"/>
  <c r="L41" i="77"/>
  <c r="K41" i="77"/>
  <c r="T41" i="77"/>
  <c r="U42" i="77" a="1"/>
  <c r="L42" i="77"/>
  <c r="K42" i="77"/>
  <c r="T42" i="77"/>
  <c r="U43" i="77" a="1"/>
  <c r="L43" i="77"/>
  <c r="K43" i="77"/>
  <c r="T43" i="77"/>
  <c r="U44" i="77" a="1"/>
  <c r="U17" i="77"/>
  <c r="U18" i="77"/>
  <c r="U19" i="77"/>
  <c r="U20" i="77"/>
  <c r="U21" i="77"/>
  <c r="U22" i="77"/>
  <c r="U23" i="77"/>
  <c r="U24" i="77"/>
  <c r="U25" i="77"/>
  <c r="U26" i="77"/>
  <c r="U27" i="77"/>
  <c r="U28" i="77"/>
  <c r="U29" i="77"/>
  <c r="U30" i="77"/>
  <c r="U31" i="77"/>
  <c r="U32" i="77"/>
  <c r="U33" i="77"/>
  <c r="U34" i="77"/>
  <c r="U35" i="77"/>
  <c r="U36" i="77"/>
  <c r="U37" i="77"/>
  <c r="U38" i="77"/>
  <c r="U39" i="77"/>
  <c r="U40" i="77"/>
  <c r="U41" i="77"/>
  <c r="U42" i="77"/>
  <c r="U43" i="77"/>
  <c r="U44" i="77"/>
  <c r="V15" i="77" a="1"/>
  <c r="V15" i="77"/>
  <c r="V16" i="77" a="1"/>
  <c r="V16" i="77"/>
  <c r="V17" i="77" a="1"/>
  <c r="V18" i="77" a="1"/>
  <c r="V19" i="77" a="1"/>
  <c r="V20" i="77" a="1"/>
  <c r="V21" i="77" a="1"/>
  <c r="V22" i="77" a="1"/>
  <c r="V23" i="77" a="1"/>
  <c r="V24" i="77" a="1"/>
  <c r="V25" i="77" a="1"/>
  <c r="V26" i="77" a="1"/>
  <c r="V27" i="77" a="1"/>
  <c r="V28" i="77" a="1"/>
  <c r="V29" i="77" a="1"/>
  <c r="V30" i="77" a="1"/>
  <c r="V31" i="77" a="1"/>
  <c r="V32" i="77" a="1"/>
  <c r="V33" i="77" a="1"/>
  <c r="V34" i="77" a="1"/>
  <c r="V35" i="77" a="1"/>
  <c r="V36" i="77" a="1"/>
  <c r="V37" i="77" a="1"/>
  <c r="V38" i="77" a="1"/>
  <c r="V39" i="77" a="1"/>
  <c r="V40" i="77" a="1"/>
  <c r="V41" i="77" a="1"/>
  <c r="V42" i="77" a="1"/>
  <c r="V43" i="77" a="1"/>
  <c r="L44" i="77"/>
  <c r="K44" i="77"/>
  <c r="T44" i="77"/>
  <c r="V44" i="77" a="1"/>
  <c r="V17" i="77"/>
  <c r="V18" i="77"/>
  <c r="V19" i="77"/>
  <c r="V20" i="77"/>
  <c r="V21" i="77"/>
  <c r="V22" i="77"/>
  <c r="V23" i="77"/>
  <c r="V24" i="77"/>
  <c r="V25" i="77"/>
  <c r="V26" i="77"/>
  <c r="V27" i="77"/>
  <c r="V28" i="77"/>
  <c r="V29" i="77"/>
  <c r="V30" i="77"/>
  <c r="V31" i="77"/>
  <c r="V32" i="77"/>
  <c r="V33" i="77"/>
  <c r="V34" i="77"/>
  <c r="V35" i="77"/>
  <c r="V36" i="77"/>
  <c r="V37" i="77"/>
  <c r="V38" i="77"/>
  <c r="V39" i="77"/>
  <c r="V40" i="77"/>
  <c r="V41" i="77"/>
  <c r="V42" i="77"/>
  <c r="V43" i="77"/>
  <c r="V44" i="77"/>
  <c r="W15" i="77" a="1"/>
  <c r="W15" i="77"/>
  <c r="W16" i="77" a="1"/>
  <c r="W16" i="77"/>
  <c r="W17" i="77" a="1"/>
  <c r="W18" i="77" a="1"/>
  <c r="W19" i="77" a="1"/>
  <c r="W20" i="77" a="1"/>
  <c r="W21" i="77" a="1"/>
  <c r="W22" i="77" a="1"/>
  <c r="W23" i="77" a="1"/>
  <c r="W24" i="77" a="1"/>
  <c r="W25" i="77" a="1"/>
  <c r="W26" i="77" a="1"/>
  <c r="W27" i="77" a="1"/>
  <c r="W28" i="77" a="1"/>
  <c r="W29" i="77" a="1"/>
  <c r="W30" i="77" a="1"/>
  <c r="W31" i="77" a="1"/>
  <c r="W32" i="77" a="1"/>
  <c r="W33" i="77" a="1"/>
  <c r="W34" i="77" a="1"/>
  <c r="W35" i="77" a="1"/>
  <c r="W36" i="77" a="1"/>
  <c r="W37" i="77" a="1"/>
  <c r="W38" i="77" a="1"/>
  <c r="W39" i="77" a="1"/>
  <c r="W40" i="77" a="1"/>
  <c r="W41" i="77" a="1"/>
  <c r="W42" i="77" a="1"/>
  <c r="W43" i="77" a="1"/>
  <c r="W44" i="77" a="1"/>
  <c r="W17" i="77"/>
  <c r="W18" i="77"/>
  <c r="W19" i="77"/>
  <c r="W20" i="77"/>
  <c r="W21" i="77"/>
  <c r="W22" i="77"/>
  <c r="W23" i="77"/>
  <c r="W24" i="77"/>
  <c r="W25" i="77"/>
  <c r="W26" i="77"/>
  <c r="W27" i="77"/>
  <c r="W28" i="77"/>
  <c r="W29" i="77"/>
  <c r="W30" i="77"/>
  <c r="W31" i="77"/>
  <c r="W32" i="77"/>
  <c r="W33" i="77"/>
  <c r="W34" i="77"/>
  <c r="W35" i="77"/>
  <c r="W36" i="77"/>
  <c r="W37" i="77"/>
  <c r="W38" i="77"/>
  <c r="W39" i="77"/>
  <c r="W40" i="77"/>
  <c r="W41" i="77"/>
  <c r="W42" i="77"/>
  <c r="W43" i="77"/>
  <c r="W44" i="77"/>
  <c r="W51" i="77"/>
  <c r="AH14" i="77"/>
  <c r="AH15" i="77"/>
  <c r="AH16" i="77"/>
  <c r="AH17" i="77"/>
  <c r="AH18" i="77"/>
  <c r="AH19" i="77"/>
  <c r="AH20" i="77"/>
  <c r="AH21" i="77"/>
  <c r="AH22" i="77"/>
  <c r="AH23" i="77"/>
  <c r="AH24" i="77"/>
  <c r="AH25" i="77"/>
  <c r="AH26" i="77"/>
  <c r="AH27" i="77"/>
  <c r="AH28" i="77"/>
  <c r="AH29" i="77"/>
  <c r="AH30" i="77"/>
  <c r="AH31" i="77"/>
  <c r="AH32" i="77"/>
  <c r="AH33" i="77"/>
  <c r="AH34" i="77"/>
  <c r="AH35" i="77"/>
  <c r="AH36" i="77"/>
  <c r="AH37" i="77"/>
  <c r="AH38" i="77"/>
  <c r="AH39" i="77"/>
  <c r="AH40" i="77"/>
  <c r="AH41" i="77"/>
  <c r="AH42" i="77"/>
  <c r="AH43" i="77"/>
  <c r="AH44" i="77"/>
  <c r="L63" i="77"/>
  <c r="L62" i="77"/>
  <c r="AF15" i="77"/>
  <c r="AG15" i="77"/>
  <c r="AF16" i="77"/>
  <c r="AG16" i="77"/>
  <c r="AF17" i="77"/>
  <c r="AG17" i="77"/>
  <c r="AF18" i="77"/>
  <c r="AG18" i="77"/>
  <c r="AF19" i="77"/>
  <c r="AG19" i="77"/>
  <c r="AF20" i="77"/>
  <c r="AG20" i="77"/>
  <c r="AF21" i="77"/>
  <c r="AG21" i="77"/>
  <c r="AF22" i="77"/>
  <c r="AG22" i="77"/>
  <c r="AF23" i="77"/>
  <c r="AG23" i="77"/>
  <c r="AF24" i="77"/>
  <c r="AG24" i="77"/>
  <c r="AF25" i="77"/>
  <c r="AG25" i="77"/>
  <c r="AF26" i="77"/>
  <c r="AG26" i="77"/>
  <c r="AF27" i="77"/>
  <c r="AG27" i="77"/>
  <c r="AF28" i="77"/>
  <c r="AG28" i="77"/>
  <c r="AF29" i="77"/>
  <c r="AG29" i="77"/>
  <c r="AF30" i="77"/>
  <c r="AG30" i="77"/>
  <c r="AF31" i="77"/>
  <c r="AG31" i="77"/>
  <c r="AF32" i="77"/>
  <c r="AG32" i="77"/>
  <c r="AF33" i="77"/>
  <c r="AG33" i="77"/>
  <c r="AF34" i="77"/>
  <c r="AG34" i="77"/>
  <c r="AF35" i="77"/>
  <c r="AG35" i="77"/>
  <c r="AF36" i="77"/>
  <c r="AG36" i="77"/>
  <c r="AF37" i="77"/>
  <c r="AG37" i="77"/>
  <c r="AF38" i="77"/>
  <c r="AG38" i="77"/>
  <c r="AF39" i="77"/>
  <c r="AG39" i="77"/>
  <c r="AF40" i="77"/>
  <c r="AG40" i="77"/>
  <c r="AF41" i="77"/>
  <c r="AG41" i="77"/>
  <c r="AF42" i="77"/>
  <c r="AG42" i="77"/>
  <c r="AF43" i="77"/>
  <c r="AG43" i="77"/>
  <c r="AF44" i="77"/>
  <c r="AG44" i="77"/>
  <c r="AF14" i="77"/>
  <c r="AG14" i="77"/>
  <c r="K52" i="77"/>
  <c r="U53" i="77"/>
  <c r="V53" i="77"/>
  <c r="X15" i="77" a="1"/>
  <c r="X15" i="77"/>
  <c r="X16" i="77" a="1"/>
  <c r="X16" i="77"/>
  <c r="X17" i="77" a="1"/>
  <c r="X18" i="77" a="1"/>
  <c r="X19" i="77" a="1"/>
  <c r="X20" i="77" a="1"/>
  <c r="X21" i="77" a="1"/>
  <c r="X22" i="77" a="1"/>
  <c r="X23" i="77" a="1"/>
  <c r="X24" i="77" a="1"/>
  <c r="X25" i="77" a="1"/>
  <c r="X26" i="77" a="1"/>
  <c r="X27" i="77" a="1"/>
  <c r="X28" i="77" a="1"/>
  <c r="X29" i="77" a="1"/>
  <c r="X30" i="77" a="1"/>
  <c r="X31" i="77" a="1"/>
  <c r="X32" i="77" a="1"/>
  <c r="X33" i="77" a="1"/>
  <c r="X34" i="77" a="1"/>
  <c r="X35" i="77" a="1"/>
  <c r="X36" i="77" a="1"/>
  <c r="X37" i="77" a="1"/>
  <c r="X38" i="77" a="1"/>
  <c r="X39" i="77" a="1"/>
  <c r="X40" i="77" a="1"/>
  <c r="X41" i="77" a="1"/>
  <c r="X42" i="77" a="1"/>
  <c r="X43" i="77" a="1"/>
  <c r="X44" i="77" a="1"/>
  <c r="X17" i="77"/>
  <c r="X18" i="77"/>
  <c r="X19" i="77"/>
  <c r="X20" i="77"/>
  <c r="X21" i="77"/>
  <c r="X22" i="77"/>
  <c r="X23" i="77"/>
  <c r="X24" i="77"/>
  <c r="X25" i="77"/>
  <c r="X26" i="77"/>
  <c r="X27" i="77"/>
  <c r="X28" i="77"/>
  <c r="X29" i="77"/>
  <c r="X30" i="77"/>
  <c r="X31" i="77"/>
  <c r="X32" i="77"/>
  <c r="X33" i="77"/>
  <c r="X34" i="77"/>
  <c r="X35" i="77"/>
  <c r="X36" i="77"/>
  <c r="X37" i="77"/>
  <c r="X38" i="77"/>
  <c r="X39" i="77"/>
  <c r="X40" i="77"/>
  <c r="X41" i="77"/>
  <c r="X42" i="77"/>
  <c r="X43" i="77"/>
  <c r="X44" i="77"/>
  <c r="X53" i="77"/>
  <c r="Y15" i="77" a="1"/>
  <c r="Y15" i="77"/>
  <c r="Y16" i="77" a="1"/>
  <c r="Y16" i="77"/>
  <c r="Y17" i="77" a="1"/>
  <c r="Y18" i="77" a="1"/>
  <c r="Y19" i="77" a="1"/>
  <c r="Y20" i="77" a="1"/>
  <c r="Y21" i="77" a="1"/>
  <c r="Y22" i="77" a="1"/>
  <c r="Y23" i="77" a="1"/>
  <c r="Y24" i="77" a="1"/>
  <c r="Y25" i="77" a="1"/>
  <c r="Y26" i="77" a="1"/>
  <c r="Y27" i="77" a="1"/>
  <c r="Y28" i="77" a="1"/>
  <c r="Y29" i="77" a="1"/>
  <c r="Y30" i="77" a="1"/>
  <c r="Y31" i="77" a="1"/>
  <c r="Y32" i="77" a="1"/>
  <c r="Y33" i="77" a="1"/>
  <c r="Y34" i="77" a="1"/>
  <c r="Y35" i="77" a="1"/>
  <c r="Y36" i="77" a="1"/>
  <c r="Y37" i="77" a="1"/>
  <c r="Y38" i="77" a="1"/>
  <c r="Y39" i="77" a="1"/>
  <c r="Y40" i="77" a="1"/>
  <c r="Y41" i="77" a="1"/>
  <c r="Y42" i="77" a="1"/>
  <c r="Y43" i="77" a="1"/>
  <c r="Y44" i="77" a="1"/>
  <c r="Y17" i="77"/>
  <c r="Y18" i="77"/>
  <c r="Y19" i="77"/>
  <c r="Y20" i="77"/>
  <c r="Y21" i="77"/>
  <c r="Y22" i="77"/>
  <c r="Y23" i="77"/>
  <c r="Y24" i="77"/>
  <c r="Y25" i="77"/>
  <c r="Y26" i="77"/>
  <c r="Y27" i="77"/>
  <c r="Y28" i="77"/>
  <c r="Y29" i="77"/>
  <c r="Y30" i="77"/>
  <c r="Y31" i="77"/>
  <c r="Y32" i="77"/>
  <c r="Y33" i="77"/>
  <c r="Y34" i="77"/>
  <c r="Y35" i="77"/>
  <c r="Y36" i="77"/>
  <c r="Y37" i="77"/>
  <c r="Y38" i="77"/>
  <c r="Y39" i="77"/>
  <c r="Y40" i="77"/>
  <c r="Y41" i="77"/>
  <c r="Y42" i="77"/>
  <c r="Y43" i="77"/>
  <c r="Y44" i="77"/>
  <c r="Y53" i="77"/>
  <c r="B13" i="77"/>
  <c r="H78" i="77"/>
  <c r="H81" i="77"/>
  <c r="H82" i="77"/>
  <c r="H83" i="77"/>
  <c r="H84" i="77"/>
  <c r="H105" i="77"/>
  <c r="H108" i="77"/>
  <c r="H109" i="77"/>
  <c r="H110" i="77"/>
  <c r="H111" i="77"/>
  <c r="H79" i="77"/>
  <c r="H80" i="77"/>
  <c r="H87" i="77"/>
  <c r="H88" i="77"/>
  <c r="H89" i="77"/>
  <c r="H90" i="77"/>
  <c r="H91" i="77"/>
  <c r="H92" i="77"/>
  <c r="H93" i="77"/>
  <c r="H94" i="77"/>
  <c r="H95" i="77"/>
  <c r="H96" i="77"/>
  <c r="H97" i="77"/>
  <c r="H98" i="77"/>
  <c r="H99" i="77"/>
  <c r="H100" i="77"/>
  <c r="H101" i="77"/>
  <c r="H102" i="77"/>
  <c r="H103" i="77"/>
  <c r="H106" i="77"/>
  <c r="H107" i="77"/>
  <c r="K53" i="77"/>
  <c r="Q14" i="77"/>
  <c r="Q15" i="77"/>
  <c r="Q16" i="77"/>
  <c r="Q17" i="77"/>
  <c r="Q18" i="77"/>
  <c r="Q19" i="77"/>
  <c r="Q20" i="77"/>
  <c r="Q21" i="77"/>
  <c r="Q22" i="77"/>
  <c r="Q23" i="77"/>
  <c r="Q24" i="77"/>
  <c r="Q25" i="77"/>
  <c r="Q26" i="77"/>
  <c r="Q27" i="77"/>
  <c r="Q28" i="77"/>
  <c r="Q29" i="77"/>
  <c r="Q30" i="77"/>
  <c r="Q31" i="77"/>
  <c r="Q32" i="77"/>
  <c r="Q33" i="77"/>
  <c r="Q34" i="77"/>
  <c r="Q35" i="77"/>
  <c r="Q36" i="77"/>
  <c r="Q37" i="77"/>
  <c r="Q38" i="77"/>
  <c r="Q39" i="77"/>
  <c r="Q40" i="77"/>
  <c r="Q41" i="77"/>
  <c r="Q42" i="77"/>
  <c r="Q43" i="77"/>
  <c r="Q44" i="77"/>
  <c r="R14" i="77"/>
  <c r="R15" i="77"/>
  <c r="R16" i="77"/>
  <c r="R17" i="77"/>
  <c r="R18" i="77"/>
  <c r="R19" i="77"/>
  <c r="R20" i="77"/>
  <c r="R21" i="77"/>
  <c r="R22" i="77"/>
  <c r="R23" i="77"/>
  <c r="R24" i="77"/>
  <c r="R25" i="77"/>
  <c r="R26" i="77"/>
  <c r="R27" i="77"/>
  <c r="R28" i="77"/>
  <c r="R29" i="77"/>
  <c r="R30" i="77"/>
  <c r="R31" i="77"/>
  <c r="R32" i="77"/>
  <c r="R33" i="77"/>
  <c r="R34" i="77"/>
  <c r="R35" i="77"/>
  <c r="R36" i="77"/>
  <c r="R37" i="77"/>
  <c r="R38" i="77"/>
  <c r="R39" i="77"/>
  <c r="R40" i="77"/>
  <c r="R41" i="77"/>
  <c r="R42" i="77"/>
  <c r="R43" i="77"/>
  <c r="R44" i="77"/>
  <c r="K57" i="77"/>
  <c r="L58" i="77"/>
  <c r="L51" i="77"/>
  <c r="D55" i="76"/>
  <c r="D56" i="76"/>
  <c r="D57" i="76"/>
  <c r="L74" i="76"/>
  <c r="AA51" i="76"/>
  <c r="AB37" i="76"/>
  <c r="AB14" i="76"/>
  <c r="AB15" i="76"/>
  <c r="AB16" i="76"/>
  <c r="AB17" i="76"/>
  <c r="AB18" i="76"/>
  <c r="AB19" i="76"/>
  <c r="AB20" i="76"/>
  <c r="AB21" i="76"/>
  <c r="AB22" i="76"/>
  <c r="AB23" i="76"/>
  <c r="AB24" i="76"/>
  <c r="AB25" i="76"/>
  <c r="AB26" i="76"/>
  <c r="AB27" i="76"/>
  <c r="AB28" i="76"/>
  <c r="AB29" i="76"/>
  <c r="AB30" i="76"/>
  <c r="AB31" i="76"/>
  <c r="AB32" i="76"/>
  <c r="AB33" i="76"/>
  <c r="AB34" i="76"/>
  <c r="AB35" i="76"/>
  <c r="AB36" i="76"/>
  <c r="AB38" i="76"/>
  <c r="AB39" i="76"/>
  <c r="AB40" i="76"/>
  <c r="AB41" i="76"/>
  <c r="AB42" i="76"/>
  <c r="AB43" i="76"/>
  <c r="AB44" i="76"/>
  <c r="AB51" i="76"/>
  <c r="AC14" i="76"/>
  <c r="AC15" i="76"/>
  <c r="AC16" i="76"/>
  <c r="AC17" i="76"/>
  <c r="AC18" i="76"/>
  <c r="AC19" i="76"/>
  <c r="AC20" i="76"/>
  <c r="AC21" i="76"/>
  <c r="AC22" i="76"/>
  <c r="AC23" i="76"/>
  <c r="AC24" i="76"/>
  <c r="AC25" i="76"/>
  <c r="AC26" i="76"/>
  <c r="AC27" i="76"/>
  <c r="AC28" i="76"/>
  <c r="AC29" i="76"/>
  <c r="AC30" i="76"/>
  <c r="AC31" i="76"/>
  <c r="AC32" i="76"/>
  <c r="AC33" i="76"/>
  <c r="AC34" i="76"/>
  <c r="AC35" i="76"/>
  <c r="AC36" i="76"/>
  <c r="AC37" i="76"/>
  <c r="AC38" i="76"/>
  <c r="AC39" i="76"/>
  <c r="AC40" i="76"/>
  <c r="AC41" i="76"/>
  <c r="AC42" i="76"/>
  <c r="AC43" i="76"/>
  <c r="AC44" i="76"/>
  <c r="AC51" i="76"/>
  <c r="AD14" i="76"/>
  <c r="AD15" i="76"/>
  <c r="AD16" i="76"/>
  <c r="AD17" i="76"/>
  <c r="AD18" i="76"/>
  <c r="AD19" i="76"/>
  <c r="AD20" i="76"/>
  <c r="AD21" i="76"/>
  <c r="AD22" i="76"/>
  <c r="AD23" i="76"/>
  <c r="AD24" i="76"/>
  <c r="AD25" i="76"/>
  <c r="AD26" i="76"/>
  <c r="AD27" i="76"/>
  <c r="AD28" i="76"/>
  <c r="AD29" i="76"/>
  <c r="AD30" i="76"/>
  <c r="AD31" i="76"/>
  <c r="AD32" i="76"/>
  <c r="AD33" i="76"/>
  <c r="AD34" i="76"/>
  <c r="AD35" i="76"/>
  <c r="AD36" i="76"/>
  <c r="AD37" i="76"/>
  <c r="AD38" i="76"/>
  <c r="AD39" i="76"/>
  <c r="AD40" i="76"/>
  <c r="AD41" i="76"/>
  <c r="AD42" i="76"/>
  <c r="AD43" i="76"/>
  <c r="AD44" i="76"/>
  <c r="AD51" i="76"/>
  <c r="L71" i="76"/>
  <c r="H8" i="76"/>
  <c r="AA52" i="76"/>
  <c r="AB52" i="76"/>
  <c r="L70" i="76"/>
  <c r="D13" i="76"/>
  <c r="M13" i="76"/>
  <c r="L13" i="76"/>
  <c r="L14" i="76"/>
  <c r="K14" i="76"/>
  <c r="T14" i="76"/>
  <c r="U15" i="76" a="1"/>
  <c r="U15" i="76"/>
  <c r="L15" i="76"/>
  <c r="K15" i="76"/>
  <c r="T15" i="76"/>
  <c r="U16" i="76" a="1"/>
  <c r="U16" i="76"/>
  <c r="L16" i="76"/>
  <c r="K16" i="76"/>
  <c r="T16" i="76"/>
  <c r="U17" i="76" a="1"/>
  <c r="L17" i="76"/>
  <c r="K17" i="76"/>
  <c r="T17" i="76"/>
  <c r="U18" i="76" a="1"/>
  <c r="L18" i="76"/>
  <c r="K18" i="76"/>
  <c r="T18" i="76"/>
  <c r="U19" i="76" a="1"/>
  <c r="L19" i="76"/>
  <c r="K19" i="76"/>
  <c r="T19" i="76"/>
  <c r="U20" i="76" a="1"/>
  <c r="L20" i="76"/>
  <c r="K20" i="76"/>
  <c r="T20" i="76"/>
  <c r="U21" i="76" a="1"/>
  <c r="L21" i="76"/>
  <c r="K21" i="76"/>
  <c r="T21" i="76"/>
  <c r="U22" i="76" a="1"/>
  <c r="L22" i="76"/>
  <c r="K22" i="76"/>
  <c r="T22" i="76"/>
  <c r="U23" i="76" a="1"/>
  <c r="L23" i="76"/>
  <c r="K23" i="76"/>
  <c r="T23" i="76"/>
  <c r="U24" i="76" a="1"/>
  <c r="L24" i="76"/>
  <c r="K24" i="76"/>
  <c r="T24" i="76"/>
  <c r="U25" i="76" a="1"/>
  <c r="L25" i="76"/>
  <c r="K25" i="76"/>
  <c r="T25" i="76"/>
  <c r="U26" i="76" a="1"/>
  <c r="L26" i="76"/>
  <c r="K26" i="76"/>
  <c r="T26" i="76"/>
  <c r="U27" i="76" a="1"/>
  <c r="L27" i="76"/>
  <c r="K27" i="76"/>
  <c r="T27" i="76"/>
  <c r="U28" i="76" a="1"/>
  <c r="L28" i="76"/>
  <c r="K28" i="76"/>
  <c r="T28" i="76"/>
  <c r="U29" i="76" a="1"/>
  <c r="L29" i="76"/>
  <c r="K29" i="76"/>
  <c r="T29" i="76"/>
  <c r="U30" i="76" a="1"/>
  <c r="L30" i="76"/>
  <c r="K30" i="76"/>
  <c r="T30" i="76"/>
  <c r="U31" i="76" a="1"/>
  <c r="L31" i="76"/>
  <c r="K31" i="76"/>
  <c r="T31" i="76"/>
  <c r="U32" i="76" a="1"/>
  <c r="L32" i="76"/>
  <c r="K32" i="76"/>
  <c r="T32" i="76"/>
  <c r="U33" i="76" a="1"/>
  <c r="L33" i="76"/>
  <c r="K33" i="76"/>
  <c r="T33" i="76"/>
  <c r="U34" i="76" a="1"/>
  <c r="L34" i="76"/>
  <c r="K34" i="76"/>
  <c r="T34" i="76"/>
  <c r="U35" i="76" a="1"/>
  <c r="L35" i="76"/>
  <c r="K35" i="76"/>
  <c r="T35" i="76"/>
  <c r="U36" i="76" a="1"/>
  <c r="L36" i="76"/>
  <c r="K36" i="76"/>
  <c r="T36" i="76"/>
  <c r="U37" i="76" a="1"/>
  <c r="L37" i="76"/>
  <c r="K37" i="76"/>
  <c r="T37" i="76"/>
  <c r="U38" i="76" a="1"/>
  <c r="L38" i="76"/>
  <c r="K38" i="76"/>
  <c r="T38" i="76"/>
  <c r="U39" i="76" a="1"/>
  <c r="L39" i="76"/>
  <c r="K39" i="76"/>
  <c r="T39" i="76"/>
  <c r="U40" i="76" a="1"/>
  <c r="L40" i="76"/>
  <c r="K40" i="76"/>
  <c r="T40" i="76"/>
  <c r="U41" i="76" a="1"/>
  <c r="L41" i="76"/>
  <c r="K41" i="76"/>
  <c r="T41" i="76"/>
  <c r="U42" i="76" a="1"/>
  <c r="L42" i="76"/>
  <c r="K42" i="76"/>
  <c r="T42" i="76"/>
  <c r="U43" i="76" a="1"/>
  <c r="L43" i="76"/>
  <c r="K43" i="76"/>
  <c r="T43" i="76"/>
  <c r="U44" i="76" a="1"/>
  <c r="U17" i="76"/>
  <c r="U18" i="76"/>
  <c r="U19" i="76"/>
  <c r="U20" i="76"/>
  <c r="U21" i="76"/>
  <c r="U22" i="76"/>
  <c r="U23" i="76"/>
  <c r="U24" i="76"/>
  <c r="U25" i="76"/>
  <c r="U26" i="76"/>
  <c r="U27" i="76"/>
  <c r="U28" i="76"/>
  <c r="U29" i="76"/>
  <c r="U30" i="76"/>
  <c r="U31" i="76"/>
  <c r="U32" i="76"/>
  <c r="U33" i="76"/>
  <c r="U34" i="76"/>
  <c r="U35" i="76"/>
  <c r="U36" i="76"/>
  <c r="U37" i="76"/>
  <c r="U38" i="76"/>
  <c r="U39" i="76"/>
  <c r="U40" i="76"/>
  <c r="U41" i="76"/>
  <c r="U42" i="76"/>
  <c r="U43" i="76"/>
  <c r="U44" i="76"/>
  <c r="U51" i="76"/>
  <c r="V15" i="76" a="1"/>
  <c r="V15" i="76"/>
  <c r="V16" i="76" a="1"/>
  <c r="V16" i="76"/>
  <c r="V17" i="76" a="1"/>
  <c r="V18" i="76" a="1"/>
  <c r="V19" i="76" a="1"/>
  <c r="V20" i="76" a="1"/>
  <c r="V21" i="76" a="1"/>
  <c r="V22" i="76" a="1"/>
  <c r="V23" i="76" a="1"/>
  <c r="V24" i="76" a="1"/>
  <c r="V25" i="76" a="1"/>
  <c r="V26" i="76" a="1"/>
  <c r="V27" i="76" a="1"/>
  <c r="V28" i="76" a="1"/>
  <c r="V29" i="76" a="1"/>
  <c r="V30" i="76" a="1"/>
  <c r="V31" i="76" a="1"/>
  <c r="V32" i="76" a="1"/>
  <c r="V33" i="76" a="1"/>
  <c r="V34" i="76" a="1"/>
  <c r="V35" i="76" a="1"/>
  <c r="V36" i="76" a="1"/>
  <c r="V37" i="76" a="1"/>
  <c r="V38" i="76" a="1"/>
  <c r="V39" i="76" a="1"/>
  <c r="V40" i="76" a="1"/>
  <c r="V41" i="76" a="1"/>
  <c r="V42" i="76" a="1"/>
  <c r="V43" i="76" a="1"/>
  <c r="L44" i="76"/>
  <c r="K44" i="76"/>
  <c r="T44" i="76"/>
  <c r="V44" i="76" a="1"/>
  <c r="V17" i="76"/>
  <c r="V18" i="76"/>
  <c r="V19" i="76"/>
  <c r="V20" i="76"/>
  <c r="V21" i="76"/>
  <c r="V22" i="76"/>
  <c r="V23" i="76"/>
  <c r="V24" i="76"/>
  <c r="V25" i="76"/>
  <c r="V26" i="76"/>
  <c r="V27" i="76"/>
  <c r="V28" i="76"/>
  <c r="V29" i="76"/>
  <c r="V30" i="76"/>
  <c r="V31" i="76"/>
  <c r="V32" i="76"/>
  <c r="V33" i="76"/>
  <c r="V34" i="76"/>
  <c r="V35" i="76"/>
  <c r="V36" i="76"/>
  <c r="V37" i="76"/>
  <c r="V38" i="76"/>
  <c r="V39" i="76"/>
  <c r="V40" i="76"/>
  <c r="V41" i="76"/>
  <c r="V42" i="76"/>
  <c r="V43" i="76"/>
  <c r="V44" i="76"/>
  <c r="V51" i="76"/>
  <c r="W15" i="76" a="1"/>
  <c r="W15" i="76"/>
  <c r="W16" i="76" a="1"/>
  <c r="W16" i="76"/>
  <c r="W17" i="76" a="1"/>
  <c r="W18" i="76" a="1"/>
  <c r="W19" i="76" a="1"/>
  <c r="W20" i="76" a="1"/>
  <c r="W21" i="76" a="1"/>
  <c r="W22" i="76" a="1"/>
  <c r="W23" i="76" a="1"/>
  <c r="W24" i="76" a="1"/>
  <c r="W25" i="76" a="1"/>
  <c r="W26" i="76" a="1"/>
  <c r="W27" i="76" a="1"/>
  <c r="W28" i="76" a="1"/>
  <c r="W29" i="76" a="1"/>
  <c r="W30" i="76" a="1"/>
  <c r="W31" i="76" a="1"/>
  <c r="W32" i="76" a="1"/>
  <c r="W33" i="76" a="1"/>
  <c r="W34" i="76" a="1"/>
  <c r="W35" i="76" a="1"/>
  <c r="W36" i="76" a="1"/>
  <c r="W37" i="76" a="1"/>
  <c r="W38" i="76" a="1"/>
  <c r="W39" i="76" a="1"/>
  <c r="W40" i="76" a="1"/>
  <c r="W41" i="76" a="1"/>
  <c r="W42" i="76" a="1"/>
  <c r="W43" i="76" a="1"/>
  <c r="W44" i="76" a="1"/>
  <c r="W17" i="76"/>
  <c r="W18" i="76"/>
  <c r="W19" i="76"/>
  <c r="W20" i="76"/>
  <c r="W21" i="76"/>
  <c r="W22" i="76"/>
  <c r="W23" i="76"/>
  <c r="W24" i="76"/>
  <c r="W25" i="76"/>
  <c r="W26" i="76"/>
  <c r="W27" i="76"/>
  <c r="W28" i="76"/>
  <c r="W29" i="76"/>
  <c r="W30" i="76"/>
  <c r="W31" i="76"/>
  <c r="W32" i="76"/>
  <c r="W33" i="76"/>
  <c r="W34" i="76"/>
  <c r="W35" i="76"/>
  <c r="W36" i="76"/>
  <c r="W37" i="76"/>
  <c r="W38" i="76"/>
  <c r="W39" i="76"/>
  <c r="W40" i="76"/>
  <c r="W41" i="76"/>
  <c r="W42" i="76"/>
  <c r="W43" i="76"/>
  <c r="W44" i="76"/>
  <c r="W51" i="76"/>
  <c r="U52" i="76"/>
  <c r="V52" i="76"/>
  <c r="AH14" i="76"/>
  <c r="AH15" i="76"/>
  <c r="AH16" i="76"/>
  <c r="AH17" i="76"/>
  <c r="AH18" i="76"/>
  <c r="AH19" i="76"/>
  <c r="AH20" i="76"/>
  <c r="AH21" i="76"/>
  <c r="AH22" i="76"/>
  <c r="AH23" i="76"/>
  <c r="AH24" i="76"/>
  <c r="AH25" i="76"/>
  <c r="AH26" i="76"/>
  <c r="AH27" i="76"/>
  <c r="AH28" i="76"/>
  <c r="AH29" i="76"/>
  <c r="AH30" i="76"/>
  <c r="AH31" i="76"/>
  <c r="AH32" i="76"/>
  <c r="AH33" i="76"/>
  <c r="AH34" i="76"/>
  <c r="AH35" i="76"/>
  <c r="AH36" i="76"/>
  <c r="AH37" i="76"/>
  <c r="AH38" i="76"/>
  <c r="AH39" i="76"/>
  <c r="AH40" i="76"/>
  <c r="AH41" i="76"/>
  <c r="AH42" i="76"/>
  <c r="AH43" i="76"/>
  <c r="AH44" i="76"/>
  <c r="L63" i="76"/>
  <c r="L62" i="76"/>
  <c r="AF15" i="76"/>
  <c r="AG15" i="76"/>
  <c r="AF16" i="76"/>
  <c r="AG16" i="76"/>
  <c r="AF17" i="76"/>
  <c r="AG17" i="76"/>
  <c r="AF18" i="76"/>
  <c r="AG18" i="76"/>
  <c r="AF19" i="76"/>
  <c r="AG19" i="76"/>
  <c r="AF20" i="76"/>
  <c r="AG20" i="76"/>
  <c r="AF21" i="76"/>
  <c r="AG21" i="76"/>
  <c r="AF22" i="76"/>
  <c r="AG22" i="76"/>
  <c r="AF23" i="76"/>
  <c r="AG23" i="76"/>
  <c r="AF24" i="76"/>
  <c r="AG24" i="76"/>
  <c r="AF25" i="76"/>
  <c r="AG25" i="76"/>
  <c r="AF26" i="76"/>
  <c r="AG26" i="76"/>
  <c r="AF27" i="76"/>
  <c r="AG27" i="76"/>
  <c r="AF28" i="76"/>
  <c r="AG28" i="76"/>
  <c r="AF29" i="76"/>
  <c r="AG29" i="76"/>
  <c r="AF30" i="76"/>
  <c r="AG30" i="76"/>
  <c r="AF31" i="76"/>
  <c r="AG31" i="76"/>
  <c r="AF32" i="76"/>
  <c r="AG32" i="76"/>
  <c r="AF33" i="76"/>
  <c r="AG33" i="76"/>
  <c r="AF34" i="76"/>
  <c r="AG34" i="76"/>
  <c r="AF35" i="76"/>
  <c r="AG35" i="76"/>
  <c r="AF36" i="76"/>
  <c r="AG36" i="76"/>
  <c r="X37" i="76" a="1"/>
  <c r="X37" i="76"/>
  <c r="AF37" i="76"/>
  <c r="AG37" i="76"/>
  <c r="AF38" i="76"/>
  <c r="Y38" i="76" a="1"/>
  <c r="Y38" i="76"/>
  <c r="AG38" i="76"/>
  <c r="AF39" i="76"/>
  <c r="AG39" i="76"/>
  <c r="AF40" i="76"/>
  <c r="AG40" i="76"/>
  <c r="AF41" i="76"/>
  <c r="AG41" i="76"/>
  <c r="AF42" i="76"/>
  <c r="AG42" i="76"/>
  <c r="AF43" i="76"/>
  <c r="AG43" i="76"/>
  <c r="AF44" i="76"/>
  <c r="AG44" i="76"/>
  <c r="AF14" i="76"/>
  <c r="AG14" i="76"/>
  <c r="K52" i="76"/>
  <c r="U53" i="76"/>
  <c r="V53" i="76"/>
  <c r="X15" i="76" a="1"/>
  <c r="X15" i="76"/>
  <c r="X16" i="76" a="1"/>
  <c r="X16" i="76"/>
  <c r="X17" i="76" a="1"/>
  <c r="X18" i="76" a="1"/>
  <c r="X19" i="76" a="1"/>
  <c r="X20" i="76" a="1"/>
  <c r="X21" i="76" a="1"/>
  <c r="X22" i="76" a="1"/>
  <c r="X23" i="76" a="1"/>
  <c r="X24" i="76" a="1"/>
  <c r="X25" i="76" a="1"/>
  <c r="X26" i="76" a="1"/>
  <c r="X27" i="76" a="1"/>
  <c r="X28" i="76" a="1"/>
  <c r="X29" i="76" a="1"/>
  <c r="X30" i="76" a="1"/>
  <c r="X31" i="76" a="1"/>
  <c r="X32" i="76" a="1"/>
  <c r="X33" i="76" a="1"/>
  <c r="X34" i="76" a="1"/>
  <c r="X35" i="76" a="1"/>
  <c r="X36" i="76" a="1"/>
  <c r="X38" i="76" a="1"/>
  <c r="X39" i="76" a="1"/>
  <c r="X40" i="76" a="1"/>
  <c r="X41" i="76" a="1"/>
  <c r="X42" i="76" a="1"/>
  <c r="X43" i="76" a="1"/>
  <c r="X44" i="76" a="1"/>
  <c r="X17" i="76"/>
  <c r="X18" i="76"/>
  <c r="X19" i="76"/>
  <c r="X20" i="76"/>
  <c r="X21" i="76"/>
  <c r="X22" i="76"/>
  <c r="X23" i="76"/>
  <c r="X24" i="76"/>
  <c r="X25" i="76"/>
  <c r="X26" i="76"/>
  <c r="X27" i="76"/>
  <c r="X28" i="76"/>
  <c r="X29" i="76"/>
  <c r="X30" i="76"/>
  <c r="X31" i="76"/>
  <c r="X32" i="76"/>
  <c r="X33" i="76"/>
  <c r="X34" i="76"/>
  <c r="X35" i="76"/>
  <c r="X36" i="76"/>
  <c r="X38" i="76"/>
  <c r="X39" i="76"/>
  <c r="X40" i="76"/>
  <c r="X41" i="76"/>
  <c r="X42" i="76"/>
  <c r="X43" i="76"/>
  <c r="X44" i="76"/>
  <c r="X53" i="76"/>
  <c r="Y15" i="76" a="1"/>
  <c r="Y15" i="76"/>
  <c r="Y16" i="76" a="1"/>
  <c r="Y16" i="76"/>
  <c r="Y17" i="76" a="1"/>
  <c r="Y18" i="76" a="1"/>
  <c r="Y19" i="76" a="1"/>
  <c r="Y20" i="76" a="1"/>
  <c r="Y21" i="76" a="1"/>
  <c r="Y22" i="76" a="1"/>
  <c r="Y23" i="76" a="1"/>
  <c r="Y24" i="76" a="1"/>
  <c r="Y25" i="76" a="1"/>
  <c r="Y26" i="76" a="1"/>
  <c r="Y27" i="76" a="1"/>
  <c r="Y28" i="76" a="1"/>
  <c r="Y29" i="76" a="1"/>
  <c r="Y30" i="76" a="1"/>
  <c r="Y31" i="76" a="1"/>
  <c r="Y32" i="76" a="1"/>
  <c r="Y33" i="76" a="1"/>
  <c r="Y34" i="76" a="1"/>
  <c r="Y35" i="76" a="1"/>
  <c r="Y36" i="76" a="1"/>
  <c r="Y37" i="76" a="1"/>
  <c r="Y39" i="76" a="1"/>
  <c r="Y40" i="76" a="1"/>
  <c r="Y41" i="76" a="1"/>
  <c r="Y42" i="76" a="1"/>
  <c r="Y43" i="76" a="1"/>
  <c r="Y44" i="76" a="1"/>
  <c r="Y17" i="76"/>
  <c r="Y18" i="76"/>
  <c r="Y19" i="76"/>
  <c r="Y20" i="76"/>
  <c r="Y21" i="76"/>
  <c r="Y22" i="76"/>
  <c r="Y23" i="76"/>
  <c r="Y24" i="76"/>
  <c r="Y25" i="76"/>
  <c r="Y26" i="76"/>
  <c r="Y27" i="76"/>
  <c r="Y28" i="76"/>
  <c r="Y29" i="76"/>
  <c r="Y30" i="76"/>
  <c r="Y31" i="76"/>
  <c r="Y32" i="76"/>
  <c r="Y33" i="76"/>
  <c r="Y34" i="76"/>
  <c r="Y35" i="76"/>
  <c r="Y36" i="76"/>
  <c r="Y37" i="76"/>
  <c r="Y39" i="76"/>
  <c r="Y40" i="76"/>
  <c r="Y41" i="76"/>
  <c r="Y42" i="76"/>
  <c r="Y43" i="76"/>
  <c r="Y44" i="76"/>
  <c r="Y53" i="76"/>
  <c r="B13" i="76"/>
  <c r="H78" i="76"/>
  <c r="H81" i="76"/>
  <c r="H82" i="76"/>
  <c r="H83" i="76"/>
  <c r="H84" i="76"/>
  <c r="H79" i="76"/>
  <c r="H80" i="76"/>
  <c r="H87" i="76"/>
  <c r="H88" i="76"/>
  <c r="H89" i="76"/>
  <c r="H90" i="76"/>
  <c r="H91" i="76"/>
  <c r="H92" i="76"/>
  <c r="H93" i="76"/>
  <c r="H94" i="76"/>
  <c r="H95" i="76"/>
  <c r="H96" i="76"/>
  <c r="H97" i="76"/>
  <c r="H98" i="76"/>
  <c r="H99" i="76"/>
  <c r="H100" i="76"/>
  <c r="H101" i="76"/>
  <c r="H102" i="76"/>
  <c r="H103" i="76"/>
  <c r="H105" i="76"/>
  <c r="H106" i="76"/>
  <c r="H107" i="76"/>
  <c r="H108" i="76"/>
  <c r="H109" i="76"/>
  <c r="H110" i="76"/>
  <c r="H111" i="76"/>
  <c r="K53" i="76"/>
  <c r="Q37" i="76"/>
  <c r="Q14" i="76"/>
  <c r="Q15" i="76"/>
  <c r="Q16" i="76"/>
  <c r="Q17" i="76"/>
  <c r="Q18" i="76"/>
  <c r="Q19" i="76"/>
  <c r="Q20" i="76"/>
  <c r="Q21" i="76"/>
  <c r="Q22" i="76"/>
  <c r="Q23" i="76"/>
  <c r="Q24" i="76"/>
  <c r="Q25" i="76"/>
  <c r="Q26" i="76"/>
  <c r="Q27" i="76"/>
  <c r="Q28" i="76"/>
  <c r="Q29" i="76"/>
  <c r="Q30" i="76"/>
  <c r="Q31" i="76"/>
  <c r="Q32" i="76"/>
  <c r="Q33" i="76"/>
  <c r="Q34" i="76"/>
  <c r="Q35" i="76"/>
  <c r="Q36" i="76"/>
  <c r="Q38" i="76"/>
  <c r="Q39" i="76"/>
  <c r="Q40" i="76"/>
  <c r="Q41" i="76"/>
  <c r="Q42" i="76"/>
  <c r="Q43" i="76"/>
  <c r="Q44" i="76"/>
  <c r="R14" i="76"/>
  <c r="R15" i="76"/>
  <c r="R16" i="76"/>
  <c r="R17" i="76"/>
  <c r="R18" i="76"/>
  <c r="R19" i="76"/>
  <c r="R20" i="76"/>
  <c r="R21" i="76"/>
  <c r="R22" i="76"/>
  <c r="R23" i="76"/>
  <c r="R24" i="76"/>
  <c r="R25" i="76"/>
  <c r="R26" i="76"/>
  <c r="R27" i="76"/>
  <c r="R28" i="76"/>
  <c r="R29" i="76"/>
  <c r="R30" i="76"/>
  <c r="R31" i="76"/>
  <c r="R32" i="76"/>
  <c r="R33" i="76"/>
  <c r="R34" i="76"/>
  <c r="R35" i="76"/>
  <c r="R36" i="76"/>
  <c r="R37" i="76"/>
  <c r="R38" i="76"/>
  <c r="R39" i="76"/>
  <c r="R40" i="76"/>
  <c r="R41" i="76"/>
  <c r="R42" i="76"/>
  <c r="R43" i="76"/>
  <c r="R44" i="76"/>
  <c r="K57" i="76"/>
  <c r="L58" i="76"/>
  <c r="L51" i="76"/>
  <c r="AA51" i="86"/>
  <c r="AB20" i="86"/>
  <c r="AB14" i="86"/>
  <c r="AB15" i="86"/>
  <c r="AB16" i="86"/>
  <c r="AB17" i="86"/>
  <c r="AB18" i="86"/>
  <c r="AB19" i="86"/>
  <c r="AB21" i="86"/>
  <c r="AB22" i="86"/>
  <c r="AB23" i="86"/>
  <c r="AB24" i="86"/>
  <c r="AB25" i="86"/>
  <c r="AB26" i="86"/>
  <c r="AB27" i="86"/>
  <c r="AB28" i="86"/>
  <c r="AB29" i="86"/>
  <c r="AB30" i="86"/>
  <c r="AB31" i="86"/>
  <c r="AB32" i="86"/>
  <c r="AB33" i="86"/>
  <c r="AB34" i="86"/>
  <c r="AB35" i="86"/>
  <c r="AB36" i="86"/>
  <c r="AB37" i="86"/>
  <c r="AB38" i="86"/>
  <c r="AB39" i="86"/>
  <c r="AB40" i="86"/>
  <c r="AB41" i="86"/>
  <c r="AB42" i="86"/>
  <c r="AB43" i="86"/>
  <c r="AB44" i="86"/>
  <c r="AB51" i="86"/>
  <c r="AC14" i="86"/>
  <c r="AC15" i="86"/>
  <c r="AC16" i="86"/>
  <c r="AC17" i="86"/>
  <c r="AC18" i="86"/>
  <c r="AC19" i="86"/>
  <c r="AC20" i="86"/>
  <c r="AC21" i="86"/>
  <c r="AC22" i="86"/>
  <c r="AC23" i="86"/>
  <c r="AC24" i="86"/>
  <c r="AC25" i="86"/>
  <c r="AC26" i="86"/>
  <c r="AC27" i="86"/>
  <c r="AC28" i="86"/>
  <c r="AC29" i="86"/>
  <c r="AC30" i="86"/>
  <c r="AC31" i="86"/>
  <c r="AC32" i="86"/>
  <c r="AC33" i="86"/>
  <c r="AC34" i="86"/>
  <c r="AC35" i="86"/>
  <c r="AC36" i="86"/>
  <c r="AC37" i="86"/>
  <c r="AC38" i="86"/>
  <c r="AC39" i="86"/>
  <c r="AC40" i="86"/>
  <c r="AC41" i="86"/>
  <c r="AC42" i="86"/>
  <c r="AC43" i="86"/>
  <c r="AC44" i="86"/>
  <c r="AC51" i="86"/>
  <c r="AD14" i="86"/>
  <c r="AD15" i="86"/>
  <c r="AD16" i="86"/>
  <c r="AD17" i="86"/>
  <c r="AD18" i="86"/>
  <c r="AD19" i="86"/>
  <c r="AD20" i="86"/>
  <c r="AD21" i="86"/>
  <c r="AD22" i="86"/>
  <c r="AD23" i="86"/>
  <c r="AD24" i="86"/>
  <c r="AD25" i="86"/>
  <c r="AD26" i="86"/>
  <c r="AD27" i="86"/>
  <c r="AD28" i="86"/>
  <c r="AD29" i="86"/>
  <c r="AD30" i="86"/>
  <c r="AD31" i="86"/>
  <c r="AD32" i="86"/>
  <c r="AD33" i="86"/>
  <c r="AD34" i="86"/>
  <c r="AD35" i="86"/>
  <c r="AD36" i="86"/>
  <c r="AD37" i="86"/>
  <c r="AD38" i="86"/>
  <c r="AD39" i="86"/>
  <c r="AD40" i="86"/>
  <c r="AD41" i="86"/>
  <c r="AD42" i="86"/>
  <c r="AD43" i="86"/>
  <c r="AD44" i="86"/>
  <c r="AD51" i="86"/>
  <c r="L71" i="86"/>
  <c r="Q43" i="75"/>
  <c r="L43" i="75"/>
  <c r="Q42" i="75"/>
  <c r="L42" i="75"/>
  <c r="Q41" i="75"/>
  <c r="L41" i="75"/>
  <c r="Q40" i="75"/>
  <c r="L40" i="75"/>
  <c r="Q39" i="75"/>
  <c r="L39" i="75"/>
  <c r="Q38" i="75"/>
  <c r="L38" i="75"/>
  <c r="Q37" i="75"/>
  <c r="L37" i="75"/>
  <c r="Q36" i="75"/>
  <c r="L36" i="75"/>
  <c r="Q35" i="75"/>
  <c r="L35" i="75"/>
  <c r="Q34" i="75"/>
  <c r="L34" i="75"/>
  <c r="Q33" i="75"/>
  <c r="L33" i="75"/>
  <c r="Q32" i="75"/>
  <c r="L32" i="75"/>
  <c r="Q31" i="75"/>
  <c r="L31" i="75"/>
  <c r="Q30" i="75"/>
  <c r="L30" i="75"/>
  <c r="Q29" i="75"/>
  <c r="L29" i="75"/>
  <c r="Q28" i="75"/>
  <c r="L28" i="75"/>
  <c r="Q27" i="75"/>
  <c r="L27" i="75"/>
  <c r="Q26" i="75"/>
  <c r="L26" i="75"/>
  <c r="Q25" i="75"/>
  <c r="L25" i="75"/>
  <c r="Q24" i="75"/>
  <c r="L24" i="75"/>
  <c r="Q23" i="75"/>
  <c r="L23" i="75"/>
  <c r="Q22" i="75"/>
  <c r="L22" i="75"/>
  <c r="Q21" i="75"/>
  <c r="L21" i="75"/>
  <c r="Q20" i="75"/>
  <c r="L20" i="75"/>
  <c r="Q19" i="75"/>
  <c r="L19" i="75"/>
  <c r="Q18" i="75"/>
  <c r="L18" i="75"/>
  <c r="Q17" i="75"/>
  <c r="L17" i="75"/>
  <c r="Q16" i="75"/>
  <c r="L16" i="75"/>
  <c r="Q15" i="75"/>
  <c r="L15" i="75"/>
  <c r="Q14" i="75"/>
  <c r="L14" i="75"/>
  <c r="Q15" i="86"/>
  <c r="Q16" i="86"/>
  <c r="Q17" i="86"/>
  <c r="Q18" i="86"/>
  <c r="Q19" i="86"/>
  <c r="Q20" i="86"/>
  <c r="Q21" i="86"/>
  <c r="Q22" i="86"/>
  <c r="Q23" i="86"/>
  <c r="Q24" i="86"/>
  <c r="Q25" i="86"/>
  <c r="Q26" i="86"/>
  <c r="Q27" i="86"/>
  <c r="Q28" i="86"/>
  <c r="Q29" i="86"/>
  <c r="Q30" i="86"/>
  <c r="Q31" i="86"/>
  <c r="Q32" i="86"/>
  <c r="Q33" i="86"/>
  <c r="Q34" i="86"/>
  <c r="Q35" i="86"/>
  <c r="Q36" i="86"/>
  <c r="Q37" i="86"/>
  <c r="Q38" i="86"/>
  <c r="Q39" i="86"/>
  <c r="Q40" i="86"/>
  <c r="Q41" i="86"/>
  <c r="Q42" i="86"/>
  <c r="Q43" i="86"/>
  <c r="Q44" i="86"/>
  <c r="Q14" i="86"/>
  <c r="R14" i="75"/>
  <c r="R15" i="75"/>
  <c r="R16" i="75"/>
  <c r="R17" i="75"/>
  <c r="AH14" i="75"/>
  <c r="AH15" i="75"/>
  <c r="AH16" i="75"/>
  <c r="AH17" i="75"/>
  <c r="AH18" i="75"/>
  <c r="AH19" i="75"/>
  <c r="AH20" i="75"/>
  <c r="AH21" i="75"/>
  <c r="AH22" i="75"/>
  <c r="AH23" i="75"/>
  <c r="AH24" i="75"/>
  <c r="AH25" i="75"/>
  <c r="AH26" i="75"/>
  <c r="AH27" i="75"/>
  <c r="AH28" i="75"/>
  <c r="AH29" i="75"/>
  <c r="AH30" i="75"/>
  <c r="AH31" i="75"/>
  <c r="AH32" i="75"/>
  <c r="AH33" i="75"/>
  <c r="AH34" i="75"/>
  <c r="AH35" i="75"/>
  <c r="AH36" i="75"/>
  <c r="AH37" i="75"/>
  <c r="AH38" i="75"/>
  <c r="AH39" i="75"/>
  <c r="AH40" i="75"/>
  <c r="AH41" i="75"/>
  <c r="AH42" i="75"/>
  <c r="AH43" i="75"/>
  <c r="R18" i="75"/>
  <c r="R19" i="75"/>
  <c r="R20" i="75"/>
  <c r="R21" i="75"/>
  <c r="R22" i="75"/>
  <c r="R23" i="75"/>
  <c r="R24" i="75"/>
  <c r="R25" i="75"/>
  <c r="R26" i="75"/>
  <c r="R27" i="75"/>
  <c r="R28" i="75"/>
  <c r="R29" i="75"/>
  <c r="R30" i="75"/>
  <c r="R31" i="75"/>
  <c r="R32" i="75"/>
  <c r="R33" i="75"/>
  <c r="R34" i="75"/>
  <c r="R35" i="75"/>
  <c r="R36" i="75"/>
  <c r="R37" i="75"/>
  <c r="R38" i="75"/>
  <c r="R39" i="75"/>
  <c r="R40" i="75"/>
  <c r="R41" i="75"/>
  <c r="R42" i="75"/>
  <c r="R43" i="75"/>
  <c r="K57" i="75"/>
  <c r="R21" i="86"/>
  <c r="R14" i="86"/>
  <c r="R15" i="86"/>
  <c r="R16" i="86"/>
  <c r="R17" i="86"/>
  <c r="AH14" i="86"/>
  <c r="AH15" i="86"/>
  <c r="AH16" i="86"/>
  <c r="AH17" i="86"/>
  <c r="AH18" i="86"/>
  <c r="AH19" i="86"/>
  <c r="AH20" i="86"/>
  <c r="AH21" i="86"/>
  <c r="AH22" i="86"/>
  <c r="AH23" i="86"/>
  <c r="AH24" i="86"/>
  <c r="AH25" i="86"/>
  <c r="AH26" i="86"/>
  <c r="AH27" i="86"/>
  <c r="AH28" i="86"/>
  <c r="AH29" i="86"/>
  <c r="AH30" i="86"/>
  <c r="AH31" i="86"/>
  <c r="AH32" i="86"/>
  <c r="AH33" i="86"/>
  <c r="AH34" i="86"/>
  <c r="AH35" i="86"/>
  <c r="AH36" i="86"/>
  <c r="AH37" i="86"/>
  <c r="AH38" i="86"/>
  <c r="AH39" i="86"/>
  <c r="AH40" i="86"/>
  <c r="AH41" i="86"/>
  <c r="AH42" i="86"/>
  <c r="AH43" i="86"/>
  <c r="AH44" i="86"/>
  <c r="R18" i="86"/>
  <c r="R19" i="86"/>
  <c r="R20" i="86"/>
  <c r="R22" i="86"/>
  <c r="R23" i="86"/>
  <c r="R24" i="86"/>
  <c r="R25" i="86"/>
  <c r="R26" i="86"/>
  <c r="R27" i="86"/>
  <c r="R28" i="86"/>
  <c r="R29" i="86"/>
  <c r="R30" i="86"/>
  <c r="R31" i="86"/>
  <c r="R32" i="86"/>
  <c r="R33" i="86"/>
  <c r="R34" i="86"/>
  <c r="R35" i="86"/>
  <c r="R36" i="86"/>
  <c r="R37" i="86"/>
  <c r="R38" i="86"/>
  <c r="R39" i="86"/>
  <c r="R40" i="86"/>
  <c r="R41" i="86"/>
  <c r="R42" i="86"/>
  <c r="R43" i="86"/>
  <c r="R44" i="86"/>
  <c r="K57" i="86"/>
  <c r="L51" i="75"/>
  <c r="L51" i="73"/>
  <c r="L51" i="86"/>
  <c r="H8" i="75"/>
  <c r="H8" i="73"/>
  <c r="H8" i="86"/>
  <c r="C31" i="3"/>
  <c r="H98" i="75"/>
  <c r="H98" i="73"/>
  <c r="H98" i="86"/>
  <c r="J45" i="86"/>
  <c r="D52" i="86"/>
  <c r="N45" i="86"/>
  <c r="O45" i="86"/>
  <c r="E52" i="86"/>
  <c r="P61" i="86"/>
  <c r="J43" i="73"/>
  <c r="D52" i="73"/>
  <c r="D51" i="73"/>
  <c r="P61" i="73"/>
  <c r="J45" i="76"/>
  <c r="D52" i="76"/>
  <c r="N45" i="76"/>
  <c r="O45" i="76"/>
  <c r="E52" i="76"/>
  <c r="P61" i="76"/>
  <c r="J44" i="75"/>
  <c r="D52" i="75"/>
  <c r="N44" i="75"/>
  <c r="O44" i="75"/>
  <c r="E52" i="75"/>
  <c r="P61" i="75"/>
  <c r="J45" i="77"/>
  <c r="D52" i="77"/>
  <c r="N45" i="77"/>
  <c r="O45" i="77"/>
  <c r="E52" i="77"/>
  <c r="P61" i="77"/>
  <c r="J44" i="82"/>
  <c r="D52" i="82"/>
  <c r="N44" i="82"/>
  <c r="O44" i="82"/>
  <c r="E52" i="82"/>
  <c r="P61" i="82"/>
  <c r="J45" i="78"/>
  <c r="D52" i="78"/>
  <c r="N45" i="78"/>
  <c r="O45" i="78"/>
  <c r="E52" i="78"/>
  <c r="P61" i="78"/>
  <c r="J45" i="79"/>
  <c r="D52" i="79"/>
  <c r="N45" i="79"/>
  <c r="O45" i="79"/>
  <c r="E52" i="79"/>
  <c r="P61" i="79"/>
  <c r="J44" i="83"/>
  <c r="D52" i="83"/>
  <c r="N44" i="83"/>
  <c r="O44" i="83"/>
  <c r="E52" i="83"/>
  <c r="P61" i="83"/>
  <c r="J45" i="80"/>
  <c r="D52" i="80"/>
  <c r="N45" i="80"/>
  <c r="O45" i="80"/>
  <c r="E52" i="80"/>
  <c r="P61" i="80"/>
  <c r="J44" i="84"/>
  <c r="D52" i="84"/>
  <c r="N44" i="84"/>
  <c r="O44" i="84"/>
  <c r="E52" i="84"/>
  <c r="P61" i="84"/>
  <c r="J45" i="81"/>
  <c r="D52" i="81"/>
  <c r="N45" i="81"/>
  <c r="O45" i="81"/>
  <c r="E52" i="81"/>
  <c r="P61" i="81"/>
  <c r="J45" i="87"/>
  <c r="D52" i="87"/>
  <c r="N45" i="87"/>
  <c r="O45" i="87"/>
  <c r="E52" i="87"/>
  <c r="P61" i="87"/>
  <c r="F82" i="3"/>
  <c r="F86" i="3"/>
  <c r="F85" i="3"/>
  <c r="A45" i="87"/>
  <c r="A45" i="81"/>
  <c r="A44" i="84"/>
  <c r="A45" i="80"/>
  <c r="A44" i="83"/>
  <c r="A45" i="79"/>
  <c r="A45" i="78"/>
  <c r="A44" i="82"/>
  <c r="A45" i="77"/>
  <c r="A44" i="75"/>
  <c r="A45" i="76"/>
  <c r="A45" i="86"/>
  <c r="AD14" i="84"/>
  <c r="AD15" i="84"/>
  <c r="AD16" i="84"/>
  <c r="AD17" i="84"/>
  <c r="AD18" i="84"/>
  <c r="AD19" i="84"/>
  <c r="AD20" i="84"/>
  <c r="AD21" i="84"/>
  <c r="AD22" i="84"/>
  <c r="AD23" i="84"/>
  <c r="AD24" i="84"/>
  <c r="AD25" i="84"/>
  <c r="AD26" i="84"/>
  <c r="AD27" i="84"/>
  <c r="AD28" i="84"/>
  <c r="AD29" i="84"/>
  <c r="AD30" i="84"/>
  <c r="AD31" i="84"/>
  <c r="AD32" i="84"/>
  <c r="AD33" i="84"/>
  <c r="AD34" i="84"/>
  <c r="AD35" i="84"/>
  <c r="AD36" i="84"/>
  <c r="AD37" i="84"/>
  <c r="AD38" i="84"/>
  <c r="AD39" i="84"/>
  <c r="AD40" i="84"/>
  <c r="AD41" i="84"/>
  <c r="AD42" i="84"/>
  <c r="AD43" i="84"/>
  <c r="AD51" i="84"/>
  <c r="AC14" i="84"/>
  <c r="AC15" i="84"/>
  <c r="AC16" i="84"/>
  <c r="AC17" i="84"/>
  <c r="AC18" i="84"/>
  <c r="AC19" i="84"/>
  <c r="AC20" i="84"/>
  <c r="AC21" i="84"/>
  <c r="AC22" i="84"/>
  <c r="AC23" i="84"/>
  <c r="AC24" i="84"/>
  <c r="AC25" i="84"/>
  <c r="AC26" i="84"/>
  <c r="AC27" i="84"/>
  <c r="AC28" i="84"/>
  <c r="AC29" i="84"/>
  <c r="AC30" i="84"/>
  <c r="AC31" i="84"/>
  <c r="AC32" i="84"/>
  <c r="AC33" i="84"/>
  <c r="AC34" i="84"/>
  <c r="AC35" i="84"/>
  <c r="AC36" i="84"/>
  <c r="AC37" i="84"/>
  <c r="AC38" i="84"/>
  <c r="AC39" i="84"/>
  <c r="AC40" i="84"/>
  <c r="AC41" i="84"/>
  <c r="AC42" i="84"/>
  <c r="AC43" i="84"/>
  <c r="AC51" i="84"/>
  <c r="AD14" i="83"/>
  <c r="AD15" i="83"/>
  <c r="AD16" i="83"/>
  <c r="AD17" i="83"/>
  <c r="AD18" i="83"/>
  <c r="AD19" i="83"/>
  <c r="AD20" i="83"/>
  <c r="AD21" i="83"/>
  <c r="AD22" i="83"/>
  <c r="AD23" i="83"/>
  <c r="AD24" i="83"/>
  <c r="AD25" i="83"/>
  <c r="AD26" i="83"/>
  <c r="AD27" i="83"/>
  <c r="AD28" i="83"/>
  <c r="AD29" i="83"/>
  <c r="AD30" i="83"/>
  <c r="AD31" i="83"/>
  <c r="AD32" i="83"/>
  <c r="AD33" i="83"/>
  <c r="AD34" i="83"/>
  <c r="AD35" i="83"/>
  <c r="AD36" i="83"/>
  <c r="AD37" i="83"/>
  <c r="AD38" i="83"/>
  <c r="AD39" i="83"/>
  <c r="AD40" i="83"/>
  <c r="AD41" i="83"/>
  <c r="AD42" i="83"/>
  <c r="AD43" i="83"/>
  <c r="AD51" i="83"/>
  <c r="AC14" i="83"/>
  <c r="AC15" i="83"/>
  <c r="AC16" i="83"/>
  <c r="AC17" i="83"/>
  <c r="AC18" i="83"/>
  <c r="AC19" i="83"/>
  <c r="AC20" i="83"/>
  <c r="AC21" i="83"/>
  <c r="AC22" i="83"/>
  <c r="AC23" i="83"/>
  <c r="AC24" i="83"/>
  <c r="AC25" i="83"/>
  <c r="AC26" i="83"/>
  <c r="AC27" i="83"/>
  <c r="AC28" i="83"/>
  <c r="AC29" i="83"/>
  <c r="AC30" i="83"/>
  <c r="AC31" i="83"/>
  <c r="AC32" i="83"/>
  <c r="AC33" i="83"/>
  <c r="AC34" i="83"/>
  <c r="AC35" i="83"/>
  <c r="AC36" i="83"/>
  <c r="AC37" i="83"/>
  <c r="AC38" i="83"/>
  <c r="AC39" i="83"/>
  <c r="AC40" i="83"/>
  <c r="AC41" i="83"/>
  <c r="AC42" i="83"/>
  <c r="AC43" i="83"/>
  <c r="AC51" i="83"/>
  <c r="AD14" i="82"/>
  <c r="AD15" i="82"/>
  <c r="AD16" i="82"/>
  <c r="AD17" i="82"/>
  <c r="AD18" i="82"/>
  <c r="AD19" i="82"/>
  <c r="AD20" i="82"/>
  <c r="AD21" i="82"/>
  <c r="AD22" i="82"/>
  <c r="AD23" i="82"/>
  <c r="AD24" i="82"/>
  <c r="AD25" i="82"/>
  <c r="AD26" i="82"/>
  <c r="AD27" i="82"/>
  <c r="AD28" i="82"/>
  <c r="AD29" i="82"/>
  <c r="AD30" i="82"/>
  <c r="AD31" i="82"/>
  <c r="AD32" i="82"/>
  <c r="AD33" i="82"/>
  <c r="AD34" i="82"/>
  <c r="AD35" i="82"/>
  <c r="AD36" i="82"/>
  <c r="AD37" i="82"/>
  <c r="AD38" i="82"/>
  <c r="AD39" i="82"/>
  <c r="AD40" i="82"/>
  <c r="AD41" i="82"/>
  <c r="AD42" i="82"/>
  <c r="AD43" i="82"/>
  <c r="AD51" i="82"/>
  <c r="AC14" i="82"/>
  <c r="AC15" i="82"/>
  <c r="AC16" i="82"/>
  <c r="AC17" i="82"/>
  <c r="AC18" i="82"/>
  <c r="AC19" i="82"/>
  <c r="AC20" i="82"/>
  <c r="AC21" i="82"/>
  <c r="AC22" i="82"/>
  <c r="AC23" i="82"/>
  <c r="AC24" i="82"/>
  <c r="AC25" i="82"/>
  <c r="AC26" i="82"/>
  <c r="AC27" i="82"/>
  <c r="AC28" i="82"/>
  <c r="AC29" i="82"/>
  <c r="AC30" i="82"/>
  <c r="AC31" i="82"/>
  <c r="AC32" i="82"/>
  <c r="AC33" i="82"/>
  <c r="AC34" i="82"/>
  <c r="AC35" i="82"/>
  <c r="AC36" i="82"/>
  <c r="AC37" i="82"/>
  <c r="AC38" i="82"/>
  <c r="AC39" i="82"/>
  <c r="AC40" i="82"/>
  <c r="AC41" i="82"/>
  <c r="AC42" i="82"/>
  <c r="AC43" i="82"/>
  <c r="AC51" i="82"/>
  <c r="E13" i="75"/>
  <c r="AD14" i="75"/>
  <c r="AD15" i="75"/>
  <c r="AD16" i="75"/>
  <c r="AD17" i="75"/>
  <c r="AD18" i="75"/>
  <c r="AD19" i="75"/>
  <c r="AD20" i="75"/>
  <c r="AD21" i="75"/>
  <c r="AD22" i="75"/>
  <c r="AD23" i="75"/>
  <c r="AD24" i="75"/>
  <c r="AD25" i="75"/>
  <c r="AD26" i="75"/>
  <c r="AD27" i="75"/>
  <c r="AD28" i="75"/>
  <c r="AD29" i="75"/>
  <c r="AD30" i="75"/>
  <c r="AD31" i="75"/>
  <c r="AD32" i="75"/>
  <c r="AD33" i="75"/>
  <c r="AD34" i="75"/>
  <c r="AD35" i="75"/>
  <c r="AD36" i="75"/>
  <c r="AD37" i="75"/>
  <c r="AD38" i="75"/>
  <c r="AD39" i="75"/>
  <c r="AD40" i="75"/>
  <c r="AD41" i="75"/>
  <c r="AD42" i="75"/>
  <c r="AD43" i="75"/>
  <c r="AD51" i="75"/>
  <c r="AC14" i="75"/>
  <c r="AC15" i="75"/>
  <c r="AC16" i="75"/>
  <c r="AC17" i="75"/>
  <c r="AC18" i="75"/>
  <c r="AC19" i="75"/>
  <c r="AC20" i="75"/>
  <c r="AC21" i="75"/>
  <c r="AC22" i="75"/>
  <c r="AC23" i="75"/>
  <c r="AC24" i="75"/>
  <c r="AC25" i="75"/>
  <c r="AC26" i="75"/>
  <c r="AC27" i="75"/>
  <c r="AC28" i="75"/>
  <c r="AC29" i="75"/>
  <c r="AC30" i="75"/>
  <c r="AC31" i="75"/>
  <c r="AC32" i="75"/>
  <c r="AC33" i="75"/>
  <c r="AC34" i="75"/>
  <c r="AC35" i="75"/>
  <c r="AC36" i="75"/>
  <c r="AC37" i="75"/>
  <c r="AC38" i="75"/>
  <c r="AC39" i="75"/>
  <c r="AC40" i="75"/>
  <c r="AC41" i="75"/>
  <c r="AC42" i="75"/>
  <c r="AC43" i="75"/>
  <c r="AC51" i="75"/>
  <c r="D55" i="75"/>
  <c r="D56" i="75"/>
  <c r="D57" i="75"/>
  <c r="L74" i="75"/>
  <c r="M13" i="75"/>
  <c r="L13" i="75"/>
  <c r="K15" i="75"/>
  <c r="T15" i="75"/>
  <c r="W15" i="75" a="1"/>
  <c r="W15" i="75"/>
  <c r="K16" i="75"/>
  <c r="T16" i="75"/>
  <c r="W16" i="75" a="1"/>
  <c r="W16" i="75"/>
  <c r="K17" i="75"/>
  <c r="T17" i="75"/>
  <c r="W17" i="75" a="1"/>
  <c r="K18" i="75"/>
  <c r="T18" i="75"/>
  <c r="W18" i="75" a="1"/>
  <c r="K19" i="75"/>
  <c r="T19" i="75"/>
  <c r="W19" i="75" a="1"/>
  <c r="K20" i="75"/>
  <c r="T20" i="75"/>
  <c r="W20" i="75" a="1"/>
  <c r="K21" i="75"/>
  <c r="T21" i="75"/>
  <c r="W21" i="75" a="1"/>
  <c r="K22" i="75"/>
  <c r="T22" i="75"/>
  <c r="W22" i="75" a="1"/>
  <c r="K23" i="75"/>
  <c r="T23" i="75"/>
  <c r="W23" i="75" a="1"/>
  <c r="K24" i="75"/>
  <c r="T24" i="75"/>
  <c r="W24" i="75" a="1"/>
  <c r="K25" i="75"/>
  <c r="T25" i="75"/>
  <c r="W25" i="75" a="1"/>
  <c r="K26" i="75"/>
  <c r="T26" i="75"/>
  <c r="W26" i="75" a="1"/>
  <c r="K27" i="75"/>
  <c r="T27" i="75"/>
  <c r="W27" i="75" a="1"/>
  <c r="K28" i="75"/>
  <c r="T28" i="75"/>
  <c r="W28" i="75" a="1"/>
  <c r="K29" i="75"/>
  <c r="T29" i="75"/>
  <c r="W29" i="75" a="1"/>
  <c r="K30" i="75"/>
  <c r="T30" i="75"/>
  <c r="W30" i="75" a="1"/>
  <c r="K31" i="75"/>
  <c r="T31" i="75"/>
  <c r="W31" i="75" a="1"/>
  <c r="K32" i="75"/>
  <c r="T32" i="75"/>
  <c r="W32" i="75" a="1"/>
  <c r="K33" i="75"/>
  <c r="T33" i="75"/>
  <c r="W33" i="75" a="1"/>
  <c r="K34" i="75"/>
  <c r="T34" i="75"/>
  <c r="W34" i="75" a="1"/>
  <c r="K35" i="75"/>
  <c r="T35" i="75"/>
  <c r="W35" i="75" a="1"/>
  <c r="K36" i="75"/>
  <c r="T36" i="75"/>
  <c r="W36" i="75" a="1"/>
  <c r="K37" i="75"/>
  <c r="T37" i="75"/>
  <c r="W37" i="75" a="1"/>
  <c r="K38" i="75"/>
  <c r="T38" i="75"/>
  <c r="W38" i="75" a="1"/>
  <c r="K39" i="75"/>
  <c r="T39" i="75"/>
  <c r="W39" i="75" a="1"/>
  <c r="K40" i="75"/>
  <c r="T40" i="75"/>
  <c r="W40" i="75" a="1"/>
  <c r="K41" i="75"/>
  <c r="T41" i="75"/>
  <c r="W41" i="75" a="1"/>
  <c r="K42" i="75"/>
  <c r="T42" i="75"/>
  <c r="W42" i="75" a="1"/>
  <c r="K43" i="75"/>
  <c r="T43" i="75"/>
  <c r="W43" i="75" a="1"/>
  <c r="W17" i="75"/>
  <c r="W18" i="75"/>
  <c r="W19" i="75"/>
  <c r="W20" i="75"/>
  <c r="W21" i="75"/>
  <c r="W22" i="75"/>
  <c r="W23" i="75"/>
  <c r="W24" i="75"/>
  <c r="W25" i="75"/>
  <c r="W26" i="75"/>
  <c r="W27" i="75"/>
  <c r="W28" i="75"/>
  <c r="W29" i="75"/>
  <c r="W30" i="75"/>
  <c r="W31" i="75"/>
  <c r="W32" i="75"/>
  <c r="W33" i="75"/>
  <c r="W34" i="75"/>
  <c r="W35" i="75"/>
  <c r="W36" i="75"/>
  <c r="W37" i="75"/>
  <c r="W38" i="75"/>
  <c r="W39" i="75"/>
  <c r="W40" i="75"/>
  <c r="W41" i="75"/>
  <c r="W42" i="75"/>
  <c r="W43" i="75"/>
  <c r="W51" i="75"/>
  <c r="AD14" i="87"/>
  <c r="AD15" i="87"/>
  <c r="AD16" i="87"/>
  <c r="AD17" i="87"/>
  <c r="AD18" i="87"/>
  <c r="AD19" i="87"/>
  <c r="AD20" i="87"/>
  <c r="AD21" i="87"/>
  <c r="AD22" i="87"/>
  <c r="AD23" i="87"/>
  <c r="AD24" i="87"/>
  <c r="AD25" i="87"/>
  <c r="AD26" i="87"/>
  <c r="AD27" i="87"/>
  <c r="AD28" i="87"/>
  <c r="AD29" i="87"/>
  <c r="AD30" i="87"/>
  <c r="AD31" i="87"/>
  <c r="AD32" i="87"/>
  <c r="AD33" i="87"/>
  <c r="AD34" i="87"/>
  <c r="AD35" i="87"/>
  <c r="AD36" i="87"/>
  <c r="AD37" i="87"/>
  <c r="AD38" i="87"/>
  <c r="AD39" i="87"/>
  <c r="AD40" i="87"/>
  <c r="AD41" i="87"/>
  <c r="AD42" i="87"/>
  <c r="AD43" i="87"/>
  <c r="AD44" i="87"/>
  <c r="AD51" i="87"/>
  <c r="AC14" i="87"/>
  <c r="AC15" i="87"/>
  <c r="AC16" i="87"/>
  <c r="AC17" i="87"/>
  <c r="AC18" i="87"/>
  <c r="AC19" i="87"/>
  <c r="AC20" i="87"/>
  <c r="AC21" i="87"/>
  <c r="AC22" i="87"/>
  <c r="AC23" i="87"/>
  <c r="AC24" i="87"/>
  <c r="AC25" i="87"/>
  <c r="AC26" i="87"/>
  <c r="AC27" i="87"/>
  <c r="AC28" i="87"/>
  <c r="AC29" i="87"/>
  <c r="AC30" i="87"/>
  <c r="AC31" i="87"/>
  <c r="AC32" i="87"/>
  <c r="AC33" i="87"/>
  <c r="AC34" i="87"/>
  <c r="AC35" i="87"/>
  <c r="AC36" i="87"/>
  <c r="AC37" i="87"/>
  <c r="AC38" i="87"/>
  <c r="AC39" i="87"/>
  <c r="AC40" i="87"/>
  <c r="AC41" i="87"/>
  <c r="AC42" i="87"/>
  <c r="AC43" i="87"/>
  <c r="AC44" i="87"/>
  <c r="AC51" i="87"/>
  <c r="AD14" i="81"/>
  <c r="AD15" i="81"/>
  <c r="AD16" i="81"/>
  <c r="AD17" i="81"/>
  <c r="AD18" i="81"/>
  <c r="AD19" i="81"/>
  <c r="AD20" i="81"/>
  <c r="AD21" i="81"/>
  <c r="AD22" i="81"/>
  <c r="AD23" i="81"/>
  <c r="AD24" i="81"/>
  <c r="AD25" i="81"/>
  <c r="AD26" i="81"/>
  <c r="AD27" i="81"/>
  <c r="AD28" i="81"/>
  <c r="AD29" i="81"/>
  <c r="AD30" i="81"/>
  <c r="AD31" i="81"/>
  <c r="AD32" i="81"/>
  <c r="AD33" i="81"/>
  <c r="AD34" i="81"/>
  <c r="AD35" i="81"/>
  <c r="AD36" i="81"/>
  <c r="AD37" i="81"/>
  <c r="AD38" i="81"/>
  <c r="AD39" i="81"/>
  <c r="AD40" i="81"/>
  <c r="AD41" i="81"/>
  <c r="AD42" i="81"/>
  <c r="AD43" i="81"/>
  <c r="AD44" i="81"/>
  <c r="AD51" i="81"/>
  <c r="AC14" i="81"/>
  <c r="AC15" i="81"/>
  <c r="AC16" i="81"/>
  <c r="AC17" i="81"/>
  <c r="AC18" i="81"/>
  <c r="AC19" i="81"/>
  <c r="AC20" i="81"/>
  <c r="AC21" i="81"/>
  <c r="AC22" i="81"/>
  <c r="AC23" i="81"/>
  <c r="AC24" i="81"/>
  <c r="AC25" i="81"/>
  <c r="AC26" i="81"/>
  <c r="AC27" i="81"/>
  <c r="AC28" i="81"/>
  <c r="AC29" i="81"/>
  <c r="AC30" i="81"/>
  <c r="AC31" i="81"/>
  <c r="AC32" i="81"/>
  <c r="AC33" i="81"/>
  <c r="AC34" i="81"/>
  <c r="AC35" i="81"/>
  <c r="AC36" i="81"/>
  <c r="AC37" i="81"/>
  <c r="AC38" i="81"/>
  <c r="AC39" i="81"/>
  <c r="AC40" i="81"/>
  <c r="AC41" i="81"/>
  <c r="AC42" i="81"/>
  <c r="AC43" i="81"/>
  <c r="AC44" i="81"/>
  <c r="AC51" i="81"/>
  <c r="AD14" i="80"/>
  <c r="AD15" i="80"/>
  <c r="AD16" i="80"/>
  <c r="AD17" i="80"/>
  <c r="AD18" i="80"/>
  <c r="AD19" i="80"/>
  <c r="AD20" i="80"/>
  <c r="AD21" i="80"/>
  <c r="AD22" i="80"/>
  <c r="AD23" i="80"/>
  <c r="AD24" i="80"/>
  <c r="AD25" i="80"/>
  <c r="AD26" i="80"/>
  <c r="AD27" i="80"/>
  <c r="AD28" i="80"/>
  <c r="AD29" i="80"/>
  <c r="AD30" i="80"/>
  <c r="AD31" i="80"/>
  <c r="AD32" i="80"/>
  <c r="AD33" i="80"/>
  <c r="AD34" i="80"/>
  <c r="AD35" i="80"/>
  <c r="AD36" i="80"/>
  <c r="AD37" i="80"/>
  <c r="AD38" i="80"/>
  <c r="AD39" i="80"/>
  <c r="AD40" i="80"/>
  <c r="AD41" i="80"/>
  <c r="AD42" i="80"/>
  <c r="AD43" i="80"/>
  <c r="AD44" i="80"/>
  <c r="AD51" i="80"/>
  <c r="AC14" i="80"/>
  <c r="AC15" i="80"/>
  <c r="AC16" i="80"/>
  <c r="AC17" i="80"/>
  <c r="AC18" i="80"/>
  <c r="AC19" i="80"/>
  <c r="AC20" i="80"/>
  <c r="AC21" i="80"/>
  <c r="AC22" i="80"/>
  <c r="AC23" i="80"/>
  <c r="AC24" i="80"/>
  <c r="AC25" i="80"/>
  <c r="AC26" i="80"/>
  <c r="AC27" i="80"/>
  <c r="AC28" i="80"/>
  <c r="AC29" i="80"/>
  <c r="AC30" i="80"/>
  <c r="AC31" i="80"/>
  <c r="AC32" i="80"/>
  <c r="AC33" i="80"/>
  <c r="AC34" i="80"/>
  <c r="AC35" i="80"/>
  <c r="AC36" i="80"/>
  <c r="AC37" i="80"/>
  <c r="AC38" i="80"/>
  <c r="AC39" i="80"/>
  <c r="AC40" i="80"/>
  <c r="AC41" i="80"/>
  <c r="AC42" i="80"/>
  <c r="AC43" i="80"/>
  <c r="AC44" i="80"/>
  <c r="AC51" i="80"/>
  <c r="AD14" i="79"/>
  <c r="AD15" i="79"/>
  <c r="AD16" i="79"/>
  <c r="AD17" i="79"/>
  <c r="AD18" i="79"/>
  <c r="AD19" i="79"/>
  <c r="AD20" i="79"/>
  <c r="AD21" i="79"/>
  <c r="AD22" i="79"/>
  <c r="AD23" i="79"/>
  <c r="AD24" i="79"/>
  <c r="AD25" i="79"/>
  <c r="AD26" i="79"/>
  <c r="AD27" i="79"/>
  <c r="AD28" i="79"/>
  <c r="AD29" i="79"/>
  <c r="AD30" i="79"/>
  <c r="AD31" i="79"/>
  <c r="AD32" i="79"/>
  <c r="AD33" i="79"/>
  <c r="AD34" i="79"/>
  <c r="AD35" i="79"/>
  <c r="AD36" i="79"/>
  <c r="AD37" i="79"/>
  <c r="AD38" i="79"/>
  <c r="AD39" i="79"/>
  <c r="AD40" i="79"/>
  <c r="AD41" i="79"/>
  <c r="AD42" i="79"/>
  <c r="AD43" i="79"/>
  <c r="AD44" i="79"/>
  <c r="AD51" i="79"/>
  <c r="AC14" i="79"/>
  <c r="AC15" i="79"/>
  <c r="AC16" i="79"/>
  <c r="AC17" i="79"/>
  <c r="AC18" i="79"/>
  <c r="AC19" i="79"/>
  <c r="AC20" i="79"/>
  <c r="AC21" i="79"/>
  <c r="AC22" i="79"/>
  <c r="AC23" i="79"/>
  <c r="AC24" i="79"/>
  <c r="AC25" i="79"/>
  <c r="AC26" i="79"/>
  <c r="AC27" i="79"/>
  <c r="AC28" i="79"/>
  <c r="AC29" i="79"/>
  <c r="AC30" i="79"/>
  <c r="AC31" i="79"/>
  <c r="AC32" i="79"/>
  <c r="AC33" i="79"/>
  <c r="AC34" i="79"/>
  <c r="AC35" i="79"/>
  <c r="AC36" i="79"/>
  <c r="AC37" i="79"/>
  <c r="AC38" i="79"/>
  <c r="AC39" i="79"/>
  <c r="AC40" i="79"/>
  <c r="AC41" i="79"/>
  <c r="AC42" i="79"/>
  <c r="AC43" i="79"/>
  <c r="AC44" i="79"/>
  <c r="AC51" i="79"/>
  <c r="AD14" i="78"/>
  <c r="AD15" i="78"/>
  <c r="AD16" i="78"/>
  <c r="AD17" i="78"/>
  <c r="AD18" i="78"/>
  <c r="AD19" i="78"/>
  <c r="AD20" i="78"/>
  <c r="AD21" i="78"/>
  <c r="AD22" i="78"/>
  <c r="AD23" i="78"/>
  <c r="AD24" i="78"/>
  <c r="AD25" i="78"/>
  <c r="AD26" i="78"/>
  <c r="AD27" i="78"/>
  <c r="AD28" i="78"/>
  <c r="AD29" i="78"/>
  <c r="AD30" i="78"/>
  <c r="AD31" i="78"/>
  <c r="AD32" i="78"/>
  <c r="AD33" i="78"/>
  <c r="AD34" i="78"/>
  <c r="AD35" i="78"/>
  <c r="AD36" i="78"/>
  <c r="AD37" i="78"/>
  <c r="AD38" i="78"/>
  <c r="AD39" i="78"/>
  <c r="AD40" i="78"/>
  <c r="AD41" i="78"/>
  <c r="AD42" i="78"/>
  <c r="AD43" i="78"/>
  <c r="AD44" i="78"/>
  <c r="AD51" i="78"/>
  <c r="AC14" i="78"/>
  <c r="AC15" i="78"/>
  <c r="AC16" i="78"/>
  <c r="AC17" i="78"/>
  <c r="AC18" i="78"/>
  <c r="AC19" i="78"/>
  <c r="AC20" i="78"/>
  <c r="AC21" i="78"/>
  <c r="AC22" i="78"/>
  <c r="AC23" i="78"/>
  <c r="AC24" i="78"/>
  <c r="AC25" i="78"/>
  <c r="AC26" i="78"/>
  <c r="AC27" i="78"/>
  <c r="AC28" i="78"/>
  <c r="AC29" i="78"/>
  <c r="AC30" i="78"/>
  <c r="AC31" i="78"/>
  <c r="AC32" i="78"/>
  <c r="AC33" i="78"/>
  <c r="AC34" i="78"/>
  <c r="AC35" i="78"/>
  <c r="AC36" i="78"/>
  <c r="AC37" i="78"/>
  <c r="AC38" i="78"/>
  <c r="AC39" i="78"/>
  <c r="AC40" i="78"/>
  <c r="AC41" i="78"/>
  <c r="AC42" i="78"/>
  <c r="AC43" i="78"/>
  <c r="AC44" i="78"/>
  <c r="AC51" i="78"/>
  <c r="AD14" i="77"/>
  <c r="AD15" i="77"/>
  <c r="AD16" i="77"/>
  <c r="AD17" i="77"/>
  <c r="AD18" i="77"/>
  <c r="AD19" i="77"/>
  <c r="AD20" i="77"/>
  <c r="AD21" i="77"/>
  <c r="AD22" i="77"/>
  <c r="AD23" i="77"/>
  <c r="AD24" i="77"/>
  <c r="AD25" i="77"/>
  <c r="AD26" i="77"/>
  <c r="AD27" i="77"/>
  <c r="AD28" i="77"/>
  <c r="AD29" i="77"/>
  <c r="AD30" i="77"/>
  <c r="AD31" i="77"/>
  <c r="AD32" i="77"/>
  <c r="AD33" i="77"/>
  <c r="AD34" i="77"/>
  <c r="AD35" i="77"/>
  <c r="AD36" i="77"/>
  <c r="AD37" i="77"/>
  <c r="AD38" i="77"/>
  <c r="AD39" i="77"/>
  <c r="AD40" i="77"/>
  <c r="AD41" i="77"/>
  <c r="AD42" i="77"/>
  <c r="AD43" i="77"/>
  <c r="AD44" i="77"/>
  <c r="AD51" i="77"/>
  <c r="AC14" i="77"/>
  <c r="AC15" i="77"/>
  <c r="AC16" i="77"/>
  <c r="AC17" i="77"/>
  <c r="AC18" i="77"/>
  <c r="AC19" i="77"/>
  <c r="AC20" i="77"/>
  <c r="AC21" i="77"/>
  <c r="AC22" i="77"/>
  <c r="AC23" i="77"/>
  <c r="AC24" i="77"/>
  <c r="AC25" i="77"/>
  <c r="AC26" i="77"/>
  <c r="AC27" i="77"/>
  <c r="AC28" i="77"/>
  <c r="AC29" i="77"/>
  <c r="AC30" i="77"/>
  <c r="AC31" i="77"/>
  <c r="AC32" i="77"/>
  <c r="AC33" i="77"/>
  <c r="AC34" i="77"/>
  <c r="AC35" i="77"/>
  <c r="AC36" i="77"/>
  <c r="AC37" i="77"/>
  <c r="AC38" i="77"/>
  <c r="AC39" i="77"/>
  <c r="AC40" i="77"/>
  <c r="AC41" i="77"/>
  <c r="AC42" i="77"/>
  <c r="AC43" i="77"/>
  <c r="AC44" i="77"/>
  <c r="AC51" i="77"/>
  <c r="M13" i="86"/>
  <c r="L13" i="86"/>
  <c r="W15" i="86" a="1"/>
  <c r="W15" i="86"/>
  <c r="W16" i="86" a="1"/>
  <c r="W16" i="86"/>
  <c r="W17" i="86" a="1"/>
  <c r="W18" i="86" a="1"/>
  <c r="W19" i="86" a="1"/>
  <c r="W20" i="86" a="1"/>
  <c r="W21" i="86" a="1"/>
  <c r="W22" i="86" a="1"/>
  <c r="W23" i="86" a="1"/>
  <c r="W24" i="86" a="1"/>
  <c r="W25" i="86" a="1"/>
  <c r="W26" i="86" a="1"/>
  <c r="W27" i="86" a="1"/>
  <c r="W28" i="86" a="1"/>
  <c r="W29" i="86" a="1"/>
  <c r="W30" i="86" a="1"/>
  <c r="W31" i="86" a="1"/>
  <c r="W32" i="86" a="1"/>
  <c r="W33" i="86" a="1"/>
  <c r="W34" i="86" a="1"/>
  <c r="W35" i="86" a="1"/>
  <c r="W36" i="86" a="1"/>
  <c r="W37" i="86" a="1"/>
  <c r="W38" i="86" a="1"/>
  <c r="W39" i="86" a="1"/>
  <c r="W40" i="86" a="1"/>
  <c r="W41" i="86" a="1"/>
  <c r="W42" i="86" a="1"/>
  <c r="W43" i="86" a="1"/>
  <c r="W44" i="86" a="1"/>
  <c r="W17" i="86"/>
  <c r="W18" i="86"/>
  <c r="W19" i="86"/>
  <c r="W20" i="86"/>
  <c r="W21" i="86"/>
  <c r="W22" i="86"/>
  <c r="W23" i="86"/>
  <c r="W24" i="86"/>
  <c r="W25" i="86"/>
  <c r="W26" i="86"/>
  <c r="W27" i="86"/>
  <c r="W28" i="86"/>
  <c r="W29" i="86"/>
  <c r="W30" i="86"/>
  <c r="W31" i="86"/>
  <c r="W32" i="86"/>
  <c r="W33" i="86"/>
  <c r="W34" i="86"/>
  <c r="W35" i="86"/>
  <c r="W36" i="86"/>
  <c r="W37" i="86"/>
  <c r="W38" i="86"/>
  <c r="W39" i="86"/>
  <c r="W40" i="86"/>
  <c r="W41" i="86"/>
  <c r="W42" i="86"/>
  <c r="W43" i="86"/>
  <c r="W44" i="86"/>
  <c r="W51" i="86"/>
  <c r="B61" i="83"/>
  <c r="B61" i="82"/>
  <c r="B61" i="77"/>
  <c r="B61" i="75"/>
  <c r="B61" i="73"/>
  <c r="B61" i="87"/>
  <c r="B61" i="81"/>
  <c r="B61" i="80"/>
  <c r="B61" i="79"/>
  <c r="B61" i="78"/>
  <c r="B61" i="76"/>
  <c r="B61" i="86"/>
  <c r="F84" i="3"/>
  <c r="AF15" i="73"/>
  <c r="AG15" i="73"/>
  <c r="AF16" i="73"/>
  <c r="AG16" i="73"/>
  <c r="AF17" i="73"/>
  <c r="AG17" i="73"/>
  <c r="AF18" i="73"/>
  <c r="AG18" i="73"/>
  <c r="Z15" i="73"/>
  <c r="Z16" i="73"/>
  <c r="Z17" i="73"/>
  <c r="Y16" i="73" a="1"/>
  <c r="Y16" i="73"/>
  <c r="Y17" i="73" a="1"/>
  <c r="Y17" i="73"/>
  <c r="Y18" i="73" a="1"/>
  <c r="Y18" i="73"/>
  <c r="X16" i="73" a="1"/>
  <c r="X16" i="73"/>
  <c r="X17" i="73" a="1"/>
  <c r="X17" i="73"/>
  <c r="X18" i="73" a="1"/>
  <c r="X18" i="73"/>
  <c r="L62" i="73"/>
  <c r="L63" i="73"/>
  <c r="L63" i="86"/>
  <c r="L63" i="75"/>
  <c r="P79" i="81"/>
  <c r="L62" i="86"/>
  <c r="L62" i="75"/>
  <c r="Q6" i="73"/>
  <c r="L61" i="73"/>
  <c r="P78" i="81"/>
  <c r="D51" i="86"/>
  <c r="D51" i="76"/>
  <c r="D51" i="75"/>
  <c r="D51" i="77"/>
  <c r="D51" i="82"/>
  <c r="D51" i="78"/>
  <c r="D51" i="79"/>
  <c r="D51" i="83"/>
  <c r="D51" i="80"/>
  <c r="D51" i="84"/>
  <c r="D51" i="81"/>
  <c r="P66" i="81"/>
  <c r="AG14" i="73"/>
  <c r="AF14" i="73"/>
  <c r="K52" i="73"/>
  <c r="B13" i="73"/>
  <c r="X15" i="73" a="1"/>
  <c r="X15" i="73"/>
  <c r="Y15" i="73" a="1"/>
  <c r="Y15" i="73"/>
  <c r="L58" i="73"/>
  <c r="K14" i="75"/>
  <c r="T14" i="75"/>
  <c r="U15" i="75" a="1"/>
  <c r="U15" i="75"/>
  <c r="U16" i="75" a="1"/>
  <c r="U16" i="75"/>
  <c r="U17" i="75" a="1"/>
  <c r="U18" i="75" a="1"/>
  <c r="U19" i="75" a="1"/>
  <c r="U20" i="75" a="1"/>
  <c r="U21" i="75" a="1"/>
  <c r="U22" i="75" a="1"/>
  <c r="U23" i="75" a="1"/>
  <c r="U24" i="75" a="1"/>
  <c r="U25" i="75" a="1"/>
  <c r="U26" i="75" a="1"/>
  <c r="U27" i="75" a="1"/>
  <c r="U28" i="75" a="1"/>
  <c r="U29" i="75" a="1"/>
  <c r="U30" i="75" a="1"/>
  <c r="U31" i="75" a="1"/>
  <c r="U32" i="75" a="1"/>
  <c r="U33" i="75" a="1"/>
  <c r="U34" i="75" a="1"/>
  <c r="U35" i="75" a="1"/>
  <c r="U36" i="75" a="1"/>
  <c r="U37" i="75" a="1"/>
  <c r="U38" i="75" a="1"/>
  <c r="U39" i="75" a="1"/>
  <c r="U40" i="75" a="1"/>
  <c r="U41" i="75" a="1"/>
  <c r="U42" i="75" a="1"/>
  <c r="U43" i="75" a="1"/>
  <c r="U17" i="75"/>
  <c r="U18" i="75"/>
  <c r="U19" i="75"/>
  <c r="U20" i="75"/>
  <c r="U21" i="75"/>
  <c r="U22" i="75"/>
  <c r="U23" i="75"/>
  <c r="U24" i="75"/>
  <c r="U25" i="75"/>
  <c r="U26" i="75"/>
  <c r="U27" i="75"/>
  <c r="U28" i="75"/>
  <c r="U29" i="75"/>
  <c r="U30" i="75"/>
  <c r="U31" i="75"/>
  <c r="U32" i="75"/>
  <c r="U33" i="75"/>
  <c r="U34" i="75"/>
  <c r="U35" i="75"/>
  <c r="U36" i="75"/>
  <c r="U37" i="75"/>
  <c r="U38" i="75"/>
  <c r="U39" i="75"/>
  <c r="U40" i="75"/>
  <c r="U41" i="75"/>
  <c r="U42" i="75"/>
  <c r="U43" i="75"/>
  <c r="V15" i="75" a="1"/>
  <c r="V15" i="75"/>
  <c r="V16" i="75" a="1"/>
  <c r="V16" i="75"/>
  <c r="V17" i="75" a="1"/>
  <c r="V18" i="75" a="1"/>
  <c r="V19" i="75" a="1"/>
  <c r="V20" i="75" a="1"/>
  <c r="V21" i="75" a="1"/>
  <c r="V22" i="75" a="1"/>
  <c r="V23" i="75" a="1"/>
  <c r="V24" i="75" a="1"/>
  <c r="V25" i="75" a="1"/>
  <c r="V26" i="75" a="1"/>
  <c r="V27" i="75" a="1"/>
  <c r="V28" i="75" a="1"/>
  <c r="V29" i="75" a="1"/>
  <c r="V30" i="75" a="1"/>
  <c r="V31" i="75" a="1"/>
  <c r="V32" i="75" a="1"/>
  <c r="V33" i="75" a="1"/>
  <c r="V34" i="75" a="1"/>
  <c r="V35" i="75" a="1"/>
  <c r="V36" i="75" a="1"/>
  <c r="V37" i="75" a="1"/>
  <c r="V38" i="75" a="1"/>
  <c r="V39" i="75" a="1"/>
  <c r="V40" i="75" a="1"/>
  <c r="V41" i="75" a="1"/>
  <c r="V42" i="75" a="1"/>
  <c r="V43" i="75" a="1"/>
  <c r="V17" i="75"/>
  <c r="V18" i="75"/>
  <c r="V19" i="75"/>
  <c r="V20" i="75"/>
  <c r="V21" i="75"/>
  <c r="V22" i="75"/>
  <c r="V23" i="75"/>
  <c r="V24" i="75"/>
  <c r="V25" i="75"/>
  <c r="V26" i="75"/>
  <c r="V27" i="75"/>
  <c r="V28" i="75"/>
  <c r="V29" i="75"/>
  <c r="V30" i="75"/>
  <c r="V31" i="75"/>
  <c r="V32" i="75"/>
  <c r="V33" i="75"/>
  <c r="V34" i="75"/>
  <c r="V35" i="75"/>
  <c r="V36" i="75"/>
  <c r="V37" i="75"/>
  <c r="V38" i="75"/>
  <c r="V39" i="75"/>
  <c r="V40" i="75"/>
  <c r="V41" i="75"/>
  <c r="V42" i="75"/>
  <c r="V43" i="75"/>
  <c r="X15" i="75" a="1"/>
  <c r="X15" i="75"/>
  <c r="X16" i="75" a="1"/>
  <c r="X16" i="75"/>
  <c r="X17" i="75" a="1"/>
  <c r="X18" i="75" a="1"/>
  <c r="X19" i="75" a="1"/>
  <c r="X20" i="75" a="1"/>
  <c r="X21" i="75" a="1"/>
  <c r="X22" i="75" a="1"/>
  <c r="X23" i="75" a="1"/>
  <c r="X24" i="75" a="1"/>
  <c r="X25" i="75" a="1"/>
  <c r="X26" i="75" a="1"/>
  <c r="X27" i="75" a="1"/>
  <c r="X28" i="75" a="1"/>
  <c r="X29" i="75" a="1"/>
  <c r="X30" i="75" a="1"/>
  <c r="X31" i="75" a="1"/>
  <c r="X32" i="75" a="1"/>
  <c r="X33" i="75" a="1"/>
  <c r="X34" i="75" a="1"/>
  <c r="X35" i="75" a="1"/>
  <c r="X36" i="75" a="1"/>
  <c r="X37" i="75" a="1"/>
  <c r="X38" i="75" a="1"/>
  <c r="X39" i="75" a="1"/>
  <c r="X40" i="75" a="1"/>
  <c r="X41" i="75" a="1"/>
  <c r="X42" i="75" a="1"/>
  <c r="X43" i="75" a="1"/>
  <c r="X17" i="75"/>
  <c r="X18" i="75"/>
  <c r="X19" i="75"/>
  <c r="X20" i="75"/>
  <c r="X21" i="75"/>
  <c r="X22" i="75"/>
  <c r="X23" i="75"/>
  <c r="X24" i="75"/>
  <c r="X25" i="75"/>
  <c r="X26" i="75"/>
  <c r="X27" i="75"/>
  <c r="X28" i="75"/>
  <c r="X29" i="75"/>
  <c r="X30" i="75"/>
  <c r="X31" i="75"/>
  <c r="X32" i="75"/>
  <c r="X33" i="75"/>
  <c r="X34" i="75"/>
  <c r="X35" i="75"/>
  <c r="X36" i="75"/>
  <c r="X37" i="75"/>
  <c r="X38" i="75"/>
  <c r="X39" i="75"/>
  <c r="X40" i="75"/>
  <c r="X41" i="75"/>
  <c r="X42" i="75"/>
  <c r="X43" i="75"/>
  <c r="Y15" i="75" a="1"/>
  <c r="Y15" i="75"/>
  <c r="Y16" i="75" a="1"/>
  <c r="Y16" i="75"/>
  <c r="Y17" i="75" a="1"/>
  <c r="Y18" i="75" a="1"/>
  <c r="Y19" i="75" a="1"/>
  <c r="Y20" i="75" a="1"/>
  <c r="Y21" i="75" a="1"/>
  <c r="Y22" i="75" a="1"/>
  <c r="Y23" i="75" a="1"/>
  <c r="Y24" i="75" a="1"/>
  <c r="Y25" i="75" a="1"/>
  <c r="Y26" i="75" a="1"/>
  <c r="Y27" i="75" a="1"/>
  <c r="Y28" i="75" a="1"/>
  <c r="Y29" i="75" a="1"/>
  <c r="Y30" i="75" a="1"/>
  <c r="Y31" i="75" a="1"/>
  <c r="Y32" i="75" a="1"/>
  <c r="Y33" i="75" a="1"/>
  <c r="Y34" i="75" a="1"/>
  <c r="Y35" i="75" a="1"/>
  <c r="Y36" i="75" a="1"/>
  <c r="Y37" i="75" a="1"/>
  <c r="Y38" i="75" a="1"/>
  <c r="Y39" i="75" a="1"/>
  <c r="Y40" i="75" a="1"/>
  <c r="Y41" i="75" a="1"/>
  <c r="Y42" i="75" a="1"/>
  <c r="Y43" i="75" a="1"/>
  <c r="Y17" i="75"/>
  <c r="Y18" i="75"/>
  <c r="Y19" i="75"/>
  <c r="Y20" i="75"/>
  <c r="Y21" i="75"/>
  <c r="Y22" i="75"/>
  <c r="Y23" i="75"/>
  <c r="Y24" i="75"/>
  <c r="Y25" i="75"/>
  <c r="Y26" i="75"/>
  <c r="Y27" i="75"/>
  <c r="Y28" i="75"/>
  <c r="Y29" i="75"/>
  <c r="Y30" i="75"/>
  <c r="Y31" i="75"/>
  <c r="Y32" i="75"/>
  <c r="Y33" i="75"/>
  <c r="Y34" i="75"/>
  <c r="Y35" i="75"/>
  <c r="Y36" i="75"/>
  <c r="Y37" i="75"/>
  <c r="Y38" i="75"/>
  <c r="Y39" i="75"/>
  <c r="Y40" i="75"/>
  <c r="Y41" i="75"/>
  <c r="Y42" i="75"/>
  <c r="Y43" i="75"/>
  <c r="B13" i="75"/>
  <c r="N76" i="81"/>
  <c r="AF14" i="86"/>
  <c r="AG14" i="86"/>
  <c r="B13" i="86"/>
  <c r="B56" i="73"/>
  <c r="B54" i="73"/>
  <c r="B53" i="73"/>
  <c r="B52" i="73"/>
  <c r="B51" i="73"/>
  <c r="B56" i="84"/>
  <c r="B54" i="84"/>
  <c r="B53" i="84"/>
  <c r="B52" i="84"/>
  <c r="B51" i="84"/>
  <c r="B56" i="83"/>
  <c r="B54" i="83"/>
  <c r="B53" i="83"/>
  <c r="B52" i="83"/>
  <c r="B51" i="83"/>
  <c r="B56" i="82"/>
  <c r="B54" i="82"/>
  <c r="B53" i="82"/>
  <c r="B52" i="82"/>
  <c r="B51" i="82"/>
  <c r="B56" i="75"/>
  <c r="B54" i="75"/>
  <c r="B53" i="75"/>
  <c r="B52" i="75"/>
  <c r="B51" i="75"/>
  <c r="B56" i="87"/>
  <c r="B54" i="87"/>
  <c r="B53" i="87"/>
  <c r="B52" i="87"/>
  <c r="B51" i="87"/>
  <c r="B56" i="81"/>
  <c r="B54" i="81"/>
  <c r="B53" i="81"/>
  <c r="B52" i="81"/>
  <c r="B51" i="81"/>
  <c r="B56" i="80"/>
  <c r="B54" i="80"/>
  <c r="B53" i="80"/>
  <c r="B52" i="80"/>
  <c r="B51" i="80"/>
  <c r="B56" i="79"/>
  <c r="B54" i="79"/>
  <c r="B53" i="79"/>
  <c r="B52" i="79"/>
  <c r="B51" i="79"/>
  <c r="B56" i="78"/>
  <c r="B54" i="78"/>
  <c r="B53" i="78"/>
  <c r="B52" i="78"/>
  <c r="B51" i="78"/>
  <c r="B56" i="77"/>
  <c r="B54" i="77"/>
  <c r="B53" i="77"/>
  <c r="B52" i="77"/>
  <c r="B51" i="77"/>
  <c r="B56" i="76"/>
  <c r="B54" i="76"/>
  <c r="B53" i="76"/>
  <c r="B52" i="76"/>
  <c r="B51" i="76"/>
  <c r="B56" i="86"/>
  <c r="B54" i="86"/>
  <c r="B53" i="86"/>
  <c r="B52" i="86"/>
  <c r="B51" i="86"/>
  <c r="L58" i="75"/>
  <c r="L58" i="86"/>
  <c r="N73" i="81"/>
  <c r="B61" i="84"/>
  <c r="D60" i="84"/>
  <c r="B60" i="84"/>
  <c r="D59" i="84"/>
  <c r="B57" i="84"/>
  <c r="Q46" i="84"/>
  <c r="E53" i="84"/>
  <c r="D53" i="84"/>
  <c r="D60" i="83"/>
  <c r="B60" i="83"/>
  <c r="D59" i="83"/>
  <c r="B57" i="83"/>
  <c r="Q46" i="83"/>
  <c r="E53" i="83"/>
  <c r="D53" i="83"/>
  <c r="D60" i="82"/>
  <c r="B60" i="82"/>
  <c r="D59" i="82"/>
  <c r="B57" i="82"/>
  <c r="Q46" i="82"/>
  <c r="E53" i="82"/>
  <c r="D53" i="82"/>
  <c r="D60" i="87"/>
  <c r="B60" i="87"/>
  <c r="D59" i="87"/>
  <c r="B57" i="87"/>
  <c r="D54" i="87"/>
  <c r="Q47" i="87"/>
  <c r="E53" i="87"/>
  <c r="D53" i="87"/>
  <c r="D51" i="87"/>
  <c r="D60" i="81"/>
  <c r="B60" i="81"/>
  <c r="D59" i="81"/>
  <c r="B57" i="81"/>
  <c r="Q47" i="81"/>
  <c r="E53" i="81"/>
  <c r="D53" i="81"/>
  <c r="D60" i="80"/>
  <c r="B60" i="80"/>
  <c r="D59" i="80"/>
  <c r="B57" i="80"/>
  <c r="Q47" i="80"/>
  <c r="E53" i="80"/>
  <c r="D53" i="80"/>
  <c r="D60" i="79"/>
  <c r="B60" i="79"/>
  <c r="D59" i="79"/>
  <c r="B57" i="79"/>
  <c r="Q47" i="79"/>
  <c r="E53" i="79"/>
  <c r="D53" i="79"/>
  <c r="D60" i="78"/>
  <c r="B60" i="78"/>
  <c r="D59" i="78"/>
  <c r="B57" i="78"/>
  <c r="Q47" i="78"/>
  <c r="E53" i="78"/>
  <c r="D53" i="78"/>
  <c r="D60" i="77"/>
  <c r="B60" i="77"/>
  <c r="D59" i="77"/>
  <c r="B57" i="77"/>
  <c r="Q47" i="77"/>
  <c r="E53" i="77"/>
  <c r="D53" i="77"/>
  <c r="D60" i="76"/>
  <c r="B60" i="76"/>
  <c r="D59" i="76"/>
  <c r="B57" i="76"/>
  <c r="Q47" i="76"/>
  <c r="E53" i="76"/>
  <c r="D53" i="76"/>
  <c r="B57" i="73"/>
  <c r="P72" i="81"/>
  <c r="B57" i="86"/>
  <c r="B57" i="75"/>
  <c r="P71" i="81"/>
  <c r="P70" i="81"/>
  <c r="P72" i="84"/>
  <c r="P71" i="84"/>
  <c r="P70" i="84"/>
  <c r="P72" i="80"/>
  <c r="P71" i="80"/>
  <c r="P70" i="80"/>
  <c r="P72" i="83"/>
  <c r="P71" i="83"/>
  <c r="P70" i="83"/>
  <c r="P72" i="79"/>
  <c r="P71" i="79"/>
  <c r="P70" i="79"/>
  <c r="P72" i="78"/>
  <c r="P71" i="78"/>
  <c r="P70" i="78"/>
  <c r="P72" i="82"/>
  <c r="P71" i="82"/>
  <c r="P70" i="82"/>
  <c r="P72" i="77"/>
  <c r="P71" i="77"/>
  <c r="P70" i="77"/>
  <c r="P72" i="75"/>
  <c r="P71" i="75"/>
  <c r="P70" i="75"/>
  <c r="P72" i="76"/>
  <c r="P71" i="76"/>
  <c r="P70" i="76"/>
  <c r="P72" i="73"/>
  <c r="P71" i="73"/>
  <c r="P70" i="73"/>
  <c r="P72" i="86"/>
  <c r="P71" i="86"/>
  <c r="P70" i="86"/>
  <c r="H26" i="3"/>
  <c r="H23" i="3"/>
  <c r="H22" i="3"/>
  <c r="H21" i="3"/>
  <c r="C21" i="3"/>
  <c r="B48" i="87"/>
  <c r="B48" i="81"/>
  <c r="B47" i="84"/>
  <c r="B48" i="80"/>
  <c r="B47" i="83"/>
  <c r="B48" i="79"/>
  <c r="B48" i="78"/>
  <c r="B47" i="82"/>
  <c r="B48" i="77"/>
  <c r="B48" i="76"/>
  <c r="B46" i="73"/>
  <c r="B48" i="86"/>
  <c r="B47" i="75"/>
  <c r="P69" i="81"/>
  <c r="D53" i="86"/>
  <c r="D53" i="75"/>
  <c r="P68" i="81"/>
  <c r="P67" i="81"/>
  <c r="P69" i="84"/>
  <c r="P68" i="84"/>
  <c r="P67" i="84"/>
  <c r="P66" i="84"/>
  <c r="P69" i="80"/>
  <c r="P68" i="80"/>
  <c r="P67" i="80"/>
  <c r="P66" i="80"/>
  <c r="P69" i="83"/>
  <c r="P68" i="83"/>
  <c r="P67" i="83"/>
  <c r="P66" i="83"/>
  <c r="P69" i="79"/>
  <c r="P68" i="79"/>
  <c r="P67" i="79"/>
  <c r="P66" i="79"/>
  <c r="P69" i="78"/>
  <c r="P68" i="78"/>
  <c r="P67" i="78"/>
  <c r="P66" i="78"/>
  <c r="P69" i="82"/>
  <c r="P68" i="82"/>
  <c r="P67" i="82"/>
  <c r="P66" i="82"/>
  <c r="P69" i="77"/>
  <c r="P68" i="77"/>
  <c r="P67" i="77"/>
  <c r="P66" i="77"/>
  <c r="P69" i="75"/>
  <c r="P68" i="75"/>
  <c r="P67" i="75"/>
  <c r="P66" i="75"/>
  <c r="P69" i="76"/>
  <c r="P68" i="76"/>
  <c r="P67" i="76"/>
  <c r="P66" i="76"/>
  <c r="P69" i="73"/>
  <c r="P68" i="73"/>
  <c r="P67" i="73"/>
  <c r="P66" i="73"/>
  <c r="P69" i="86"/>
  <c r="P68" i="86"/>
  <c r="P67" i="86"/>
  <c r="P66" i="86"/>
  <c r="N58" i="87"/>
  <c r="N58" i="81"/>
  <c r="N58" i="84"/>
  <c r="N58" i="80"/>
  <c r="N58" i="83"/>
  <c r="N58" i="79"/>
  <c r="N58" i="78"/>
  <c r="N58" i="82"/>
  <c r="N58" i="77"/>
  <c r="N58" i="75"/>
  <c r="N58" i="76"/>
  <c r="N58" i="73"/>
  <c r="N58" i="86"/>
  <c r="D115" i="3"/>
  <c r="D116" i="3"/>
  <c r="B116" i="3"/>
  <c r="B115" i="3"/>
  <c r="D113" i="3"/>
  <c r="D114" i="3"/>
  <c r="B114" i="3"/>
  <c r="B113" i="3"/>
  <c r="G112" i="3"/>
  <c r="P56" i="87"/>
  <c r="P54" i="87"/>
  <c r="P53" i="87"/>
  <c r="P52" i="87"/>
  <c r="G111" i="3"/>
  <c r="P56" i="81"/>
  <c r="P54" i="81"/>
  <c r="P53" i="81"/>
  <c r="P52" i="81"/>
  <c r="G110" i="3"/>
  <c r="P56" i="84"/>
  <c r="P54" i="84"/>
  <c r="P53" i="84"/>
  <c r="P52" i="84"/>
  <c r="G109" i="3"/>
  <c r="P56" i="80"/>
  <c r="P54" i="80"/>
  <c r="P53" i="80"/>
  <c r="P52" i="80"/>
  <c r="G108" i="3"/>
  <c r="P56" i="83"/>
  <c r="P54" i="83"/>
  <c r="P53" i="83"/>
  <c r="P52" i="83"/>
  <c r="G107" i="3"/>
  <c r="P56" i="79"/>
  <c r="P54" i="79"/>
  <c r="P52" i="79"/>
  <c r="G106" i="3"/>
  <c r="P56" i="78"/>
  <c r="P54" i="78"/>
  <c r="P53" i="78"/>
  <c r="P52" i="78"/>
  <c r="G105" i="3"/>
  <c r="P56" i="82"/>
  <c r="P54" i="82"/>
  <c r="P53" i="82"/>
  <c r="P52" i="82"/>
  <c r="G104" i="3"/>
  <c r="P56" i="77"/>
  <c r="P54" i="77"/>
  <c r="P53" i="77"/>
  <c r="P52" i="77"/>
  <c r="G103" i="3"/>
  <c r="P56" i="75"/>
  <c r="P54" i="75"/>
  <c r="P53" i="75"/>
  <c r="P52" i="75"/>
  <c r="G102" i="3"/>
  <c r="P56" i="76"/>
  <c r="P54" i="76"/>
  <c r="P53" i="76"/>
  <c r="P52" i="76"/>
  <c r="G101" i="3"/>
  <c r="P56" i="73"/>
  <c r="P54" i="73"/>
  <c r="P52" i="73"/>
  <c r="N50" i="86"/>
  <c r="D29" i="89"/>
  <c r="B52" i="89"/>
  <c r="B62" i="89"/>
  <c r="AB43" i="75"/>
  <c r="AB42" i="75"/>
  <c r="AB41" i="75"/>
  <c r="AB40" i="75"/>
  <c r="AB39" i="75"/>
  <c r="AB38" i="75"/>
  <c r="AB37" i="75"/>
  <c r="AB36" i="75"/>
  <c r="AB35" i="75"/>
  <c r="AB34" i="75"/>
  <c r="AB33" i="75"/>
  <c r="AB32" i="75"/>
  <c r="AB31" i="75"/>
  <c r="AB30" i="75"/>
  <c r="AB29" i="75"/>
  <c r="AB28" i="75"/>
  <c r="AB27" i="75"/>
  <c r="AB26" i="75"/>
  <c r="AB25" i="75"/>
  <c r="AB24" i="75"/>
  <c r="AB23" i="75"/>
  <c r="AB22" i="75"/>
  <c r="AB21" i="75"/>
  <c r="AB20" i="75"/>
  <c r="AB19" i="75"/>
  <c r="AB18" i="75"/>
  <c r="AB17" i="75"/>
  <c r="AB16" i="75"/>
  <c r="AB15" i="75"/>
  <c r="AB14" i="75"/>
  <c r="K1" i="17"/>
  <c r="C8" i="89"/>
  <c r="F3" i="16"/>
  <c r="J112" i="3"/>
  <c r="J101" i="3"/>
  <c r="J102" i="3"/>
  <c r="J103" i="3"/>
  <c r="J104" i="3"/>
  <c r="J105" i="3"/>
  <c r="J106" i="3"/>
  <c r="J107" i="3"/>
  <c r="J108" i="3"/>
  <c r="J109" i="3"/>
  <c r="J110" i="3"/>
  <c r="J111" i="3"/>
  <c r="G100" i="3"/>
  <c r="J100" i="3"/>
  <c r="F6" i="87"/>
  <c r="B6" i="87"/>
  <c r="F6" i="81"/>
  <c r="B6" i="81"/>
  <c r="F6" i="84"/>
  <c r="B6" i="84"/>
  <c r="F6" i="80"/>
  <c r="B6" i="80"/>
  <c r="F6" i="83"/>
  <c r="B6" i="83"/>
  <c r="F6" i="79"/>
  <c r="B6" i="79"/>
  <c r="F6" i="78"/>
  <c r="B6" i="78"/>
  <c r="F6" i="82"/>
  <c r="B6" i="82"/>
  <c r="F6" i="77"/>
  <c r="B6" i="77"/>
  <c r="F6" i="75"/>
  <c r="B6" i="75"/>
  <c r="F6" i="76"/>
  <c r="B6" i="76"/>
  <c r="F6" i="73"/>
  <c r="B6" i="73"/>
  <c r="F6" i="86"/>
  <c r="B6" i="86"/>
  <c r="C53" i="89"/>
  <c r="E63" i="89"/>
  <c r="E67" i="89"/>
  <c r="E68" i="89"/>
  <c r="E69" i="89"/>
  <c r="F25" i="89"/>
  <c r="E53" i="89"/>
  <c r="E57" i="89"/>
  <c r="E58" i="89"/>
  <c r="D59" i="73"/>
  <c r="E59" i="89"/>
  <c r="F19" i="89"/>
  <c r="F27" i="89"/>
  <c r="D59" i="75"/>
  <c r="D59" i="86"/>
  <c r="B12" i="89"/>
  <c r="B3" i="16"/>
  <c r="B10" i="89"/>
  <c r="D5" i="16"/>
  <c r="C27" i="3"/>
  <c r="C26" i="3"/>
  <c r="C25" i="3"/>
  <c r="C24" i="3"/>
  <c r="C23" i="3"/>
  <c r="C22" i="3"/>
  <c r="P60" i="87"/>
  <c r="D60" i="75"/>
  <c r="B60" i="75"/>
  <c r="Q46" i="75"/>
  <c r="E53" i="75"/>
  <c r="D60" i="73"/>
  <c r="B60" i="73"/>
  <c r="F71" i="89"/>
  <c r="F70" i="89"/>
  <c r="F69" i="89"/>
  <c r="F68" i="89"/>
  <c r="F67" i="89"/>
  <c r="F66" i="89"/>
  <c r="F65" i="89"/>
  <c r="F61" i="89"/>
  <c r="F60" i="89"/>
  <c r="F59" i="89"/>
  <c r="F58" i="89"/>
  <c r="F57" i="89"/>
  <c r="F56" i="89"/>
  <c r="F55" i="89"/>
  <c r="D61" i="89"/>
  <c r="B60" i="86"/>
  <c r="D60" i="89"/>
  <c r="D59" i="89"/>
  <c r="D58" i="89"/>
  <c r="D57" i="89"/>
  <c r="D56" i="89"/>
  <c r="D55" i="89"/>
  <c r="D60" i="86"/>
  <c r="C57" i="89"/>
  <c r="P60" i="84"/>
  <c r="N64" i="81"/>
  <c r="N64" i="84"/>
  <c r="N64" i="80"/>
  <c r="N64" i="83"/>
  <c r="N64" i="79"/>
  <c r="N64" i="78"/>
  <c r="N64" i="82"/>
  <c r="N64" i="77"/>
  <c r="N64" i="75"/>
  <c r="N64" i="76"/>
  <c r="N64" i="73"/>
  <c r="N64" i="86"/>
  <c r="F64" i="89"/>
  <c r="F63" i="89"/>
  <c r="F54" i="89"/>
  <c r="F53" i="89"/>
  <c r="D54" i="89"/>
  <c r="D53" i="89"/>
  <c r="Q47" i="86"/>
  <c r="E53" i="86"/>
  <c r="N50" i="87"/>
  <c r="N50" i="81"/>
  <c r="N50" i="84"/>
  <c r="N50" i="80"/>
  <c r="N50" i="83"/>
  <c r="N50" i="79"/>
  <c r="N50" i="78"/>
  <c r="N50" i="82"/>
  <c r="N50" i="77"/>
  <c r="N50" i="75"/>
  <c r="N50" i="76"/>
  <c r="N50" i="73"/>
  <c r="P62" i="86"/>
  <c r="P56" i="86"/>
  <c r="P54" i="86"/>
  <c r="P52" i="86"/>
  <c r="Q47" i="84"/>
  <c r="Q47" i="83"/>
  <c r="Q47" i="82"/>
  <c r="Q47" i="75"/>
  <c r="Q46" i="73"/>
  <c r="Q48" i="87"/>
  <c r="Q48" i="81"/>
  <c r="Q48" i="80"/>
  <c r="Q48" i="79"/>
  <c r="Q48" i="78"/>
  <c r="Q48" i="77"/>
  <c r="Q48" i="76"/>
  <c r="Q48" i="86"/>
  <c r="C29" i="89"/>
  <c r="G114" i="3"/>
  <c r="D26" i="89"/>
  <c r="G113" i="3"/>
  <c r="D20" i="89"/>
  <c r="M45" i="87"/>
  <c r="L45" i="87"/>
  <c r="Z44" i="87"/>
  <c r="Z43" i="87"/>
  <c r="Z42" i="87"/>
  <c r="Z41" i="87"/>
  <c r="Z40" i="87"/>
  <c r="Z39" i="87"/>
  <c r="Z38" i="87"/>
  <c r="Z37" i="87"/>
  <c r="Z36" i="87"/>
  <c r="Z35" i="87"/>
  <c r="Z34" i="87"/>
  <c r="Z33" i="87"/>
  <c r="Z32" i="87"/>
  <c r="Z31" i="87"/>
  <c r="Z30" i="87"/>
  <c r="Z29" i="87"/>
  <c r="Z28" i="87"/>
  <c r="Z27" i="87"/>
  <c r="Z26" i="87"/>
  <c r="Z25" i="87"/>
  <c r="Z24" i="87"/>
  <c r="Z23" i="87"/>
  <c r="Z22" i="87"/>
  <c r="Z21" i="87"/>
  <c r="Z20" i="87"/>
  <c r="Z19" i="87"/>
  <c r="Z18" i="87"/>
  <c r="Z17" i="87"/>
  <c r="Z16" i="87"/>
  <c r="Z15" i="87"/>
  <c r="Z14" i="87"/>
  <c r="Z13" i="87"/>
  <c r="N13" i="87"/>
  <c r="M45" i="86"/>
  <c r="L45" i="86"/>
  <c r="M45" i="76"/>
  <c r="L45" i="76"/>
  <c r="M45" i="78"/>
  <c r="Z14" i="73"/>
  <c r="Z13" i="73"/>
  <c r="N13" i="73"/>
  <c r="L45" i="81"/>
  <c r="M45" i="81"/>
  <c r="L45" i="80"/>
  <c r="M45" i="80"/>
  <c r="L45" i="79"/>
  <c r="M45" i="79"/>
  <c r="N13" i="81"/>
  <c r="N13" i="84"/>
  <c r="N13" i="80"/>
  <c r="N13" i="83"/>
  <c r="N13" i="79"/>
  <c r="N13" i="78"/>
  <c r="N13" i="82"/>
  <c r="N13" i="77"/>
  <c r="N13" i="75"/>
  <c r="N13" i="76"/>
  <c r="N13" i="86"/>
  <c r="L44" i="82"/>
  <c r="M44" i="82"/>
  <c r="Z13" i="81"/>
  <c r="Z13" i="84"/>
  <c r="Z13" i="80"/>
  <c r="Z13" i="83"/>
  <c r="Z13" i="79"/>
  <c r="Z13" i="78"/>
  <c r="Z13" i="82"/>
  <c r="Z13" i="77"/>
  <c r="Z13" i="75"/>
  <c r="Z13" i="76"/>
  <c r="Z13" i="86"/>
  <c r="M44" i="84"/>
  <c r="L44" i="84"/>
  <c r="L45" i="78"/>
  <c r="M44" i="83"/>
  <c r="L44" i="83"/>
  <c r="Z43" i="84"/>
  <c r="Z42" i="84"/>
  <c r="Z41" i="84"/>
  <c r="Z40" i="84"/>
  <c r="Z39" i="84"/>
  <c r="Z38" i="84"/>
  <c r="Z37" i="84"/>
  <c r="Z36" i="84"/>
  <c r="Z35" i="84"/>
  <c r="Z34" i="84"/>
  <c r="Z33" i="84"/>
  <c r="Z32" i="84"/>
  <c r="Z31" i="84"/>
  <c r="Z30" i="84"/>
  <c r="Z29" i="84"/>
  <c r="Z28" i="84"/>
  <c r="Z27" i="84"/>
  <c r="Z26" i="84"/>
  <c r="Z25" i="84"/>
  <c r="Z24" i="84"/>
  <c r="Z23" i="84"/>
  <c r="Z22" i="84"/>
  <c r="Z21" i="84"/>
  <c r="Z20" i="84"/>
  <c r="Z19" i="84"/>
  <c r="Z18" i="84"/>
  <c r="Z17" i="84"/>
  <c r="Z16" i="84"/>
  <c r="Z15" i="84"/>
  <c r="Z14" i="84"/>
  <c r="Z43" i="83"/>
  <c r="Z42" i="83"/>
  <c r="Z41" i="83"/>
  <c r="Z40" i="83"/>
  <c r="Z39" i="83"/>
  <c r="Z38" i="83"/>
  <c r="Z37" i="83"/>
  <c r="Z36" i="83"/>
  <c r="Z35" i="83"/>
  <c r="Z34" i="83"/>
  <c r="Z33" i="83"/>
  <c r="Z32" i="83"/>
  <c r="Z31" i="83"/>
  <c r="Z30" i="83"/>
  <c r="Z29" i="83"/>
  <c r="Z28" i="83"/>
  <c r="Z27" i="83"/>
  <c r="Z26" i="83"/>
  <c r="Z25" i="83"/>
  <c r="Z24" i="83"/>
  <c r="Z23" i="83"/>
  <c r="Z22" i="83"/>
  <c r="Z21" i="83"/>
  <c r="Z20" i="83"/>
  <c r="Z19" i="83"/>
  <c r="Z18" i="83"/>
  <c r="Z17" i="83"/>
  <c r="Z16" i="83"/>
  <c r="Z15" i="83"/>
  <c r="Z14" i="83"/>
  <c r="Z43" i="82"/>
  <c r="Z42" i="82"/>
  <c r="Z41" i="82"/>
  <c r="Z40" i="82"/>
  <c r="Z39" i="82"/>
  <c r="Z38" i="82"/>
  <c r="Z37" i="82"/>
  <c r="Z36" i="82"/>
  <c r="Z35" i="82"/>
  <c r="Z34" i="82"/>
  <c r="Z33" i="82"/>
  <c r="Z32" i="82"/>
  <c r="Z31" i="82"/>
  <c r="Z30" i="82"/>
  <c r="Z29" i="82"/>
  <c r="Z28" i="82"/>
  <c r="Z27" i="82"/>
  <c r="Z26" i="82"/>
  <c r="Z25" i="82"/>
  <c r="Z24" i="82"/>
  <c r="Z23" i="82"/>
  <c r="Z22" i="82"/>
  <c r="Z21" i="82"/>
  <c r="Z20" i="82"/>
  <c r="Z19" i="82"/>
  <c r="Z18" i="82"/>
  <c r="Z17" i="82"/>
  <c r="Z16" i="82"/>
  <c r="Z15" i="82"/>
  <c r="Z14" i="82"/>
  <c r="Z44" i="81"/>
  <c r="Z43" i="81"/>
  <c r="Z42" i="81"/>
  <c r="Z41" i="81"/>
  <c r="Z40" i="81"/>
  <c r="Z39" i="81"/>
  <c r="Z38" i="81"/>
  <c r="Z37" i="81"/>
  <c r="Z36" i="81"/>
  <c r="Z35" i="81"/>
  <c r="Z34" i="81"/>
  <c r="Z33" i="81"/>
  <c r="Z32" i="81"/>
  <c r="Z31" i="81"/>
  <c r="Z30" i="81"/>
  <c r="Z29" i="81"/>
  <c r="Z28" i="81"/>
  <c r="Z27" i="81"/>
  <c r="Z26" i="81"/>
  <c r="Z25" i="81"/>
  <c r="Z24" i="81"/>
  <c r="Z23" i="81"/>
  <c r="Z22" i="81"/>
  <c r="Z21" i="81"/>
  <c r="Z20" i="81"/>
  <c r="Z19" i="81"/>
  <c r="Z18" i="81"/>
  <c r="Z17" i="81"/>
  <c r="Z16" i="81"/>
  <c r="Z15" i="81"/>
  <c r="Z14" i="81"/>
  <c r="Z44" i="80"/>
  <c r="Z43" i="80"/>
  <c r="Z42" i="80"/>
  <c r="Z41" i="80"/>
  <c r="Z40" i="80"/>
  <c r="Z39" i="80"/>
  <c r="Z38" i="80"/>
  <c r="Z37" i="80"/>
  <c r="Z36" i="80"/>
  <c r="Z35" i="80"/>
  <c r="Z34" i="80"/>
  <c r="Z33" i="80"/>
  <c r="Z32" i="80"/>
  <c r="Z31" i="80"/>
  <c r="Z30" i="80"/>
  <c r="Z29" i="80"/>
  <c r="Z28" i="80"/>
  <c r="Z27" i="80"/>
  <c r="Z26" i="80"/>
  <c r="Z25" i="80"/>
  <c r="Z24" i="80"/>
  <c r="Z23" i="80"/>
  <c r="Z22" i="80"/>
  <c r="Z21" i="80"/>
  <c r="Z20" i="80"/>
  <c r="Z19" i="80"/>
  <c r="Z18" i="80"/>
  <c r="Z17" i="80"/>
  <c r="Z16" i="80"/>
  <c r="Z15" i="80"/>
  <c r="Z14" i="80"/>
  <c r="Z44" i="79"/>
  <c r="Z43" i="79"/>
  <c r="Z42" i="79"/>
  <c r="Z41" i="79"/>
  <c r="Z40" i="79"/>
  <c r="Z39" i="79"/>
  <c r="Z38" i="79"/>
  <c r="Z37" i="79"/>
  <c r="Z36" i="79"/>
  <c r="Z35" i="79"/>
  <c r="Z34" i="79"/>
  <c r="Z33" i="79"/>
  <c r="Z32" i="79"/>
  <c r="Z31" i="79"/>
  <c r="Z30" i="79"/>
  <c r="Z29" i="79"/>
  <c r="Z28" i="79"/>
  <c r="Z27" i="79"/>
  <c r="Z26" i="79"/>
  <c r="Z25" i="79"/>
  <c r="Z24" i="79"/>
  <c r="Z23" i="79"/>
  <c r="Z22" i="79"/>
  <c r="Z21" i="79"/>
  <c r="Z20" i="79"/>
  <c r="Z19" i="79"/>
  <c r="Z18" i="79"/>
  <c r="Z17" i="79"/>
  <c r="Z16" i="79"/>
  <c r="Z15" i="79"/>
  <c r="Z14" i="79"/>
  <c r="Z44" i="78"/>
  <c r="Z43" i="78"/>
  <c r="Z42" i="78"/>
  <c r="Z41" i="78"/>
  <c r="Z40" i="78"/>
  <c r="Z39" i="78"/>
  <c r="Z38" i="78"/>
  <c r="Z37" i="78"/>
  <c r="Z36" i="78"/>
  <c r="Z35" i="78"/>
  <c r="Z34" i="78"/>
  <c r="Z33" i="78"/>
  <c r="Z32" i="78"/>
  <c r="Z31" i="78"/>
  <c r="Z30" i="78"/>
  <c r="Z29" i="78"/>
  <c r="Z28" i="78"/>
  <c r="Z27" i="78"/>
  <c r="Z26" i="78"/>
  <c r="Z25" i="78"/>
  <c r="Z24" i="78"/>
  <c r="Z23" i="78"/>
  <c r="Z22" i="78"/>
  <c r="Z21" i="78"/>
  <c r="Z20" i="78"/>
  <c r="Z19" i="78"/>
  <c r="Z18" i="78"/>
  <c r="Z17" i="78"/>
  <c r="Z16" i="78"/>
  <c r="Z15" i="78"/>
  <c r="Z14" i="78"/>
  <c r="Z44" i="77"/>
  <c r="Z43" i="77"/>
  <c r="Z42" i="77"/>
  <c r="Z41" i="77"/>
  <c r="Z40" i="77"/>
  <c r="Z39" i="77"/>
  <c r="Z38" i="77"/>
  <c r="Z37" i="77"/>
  <c r="Z36" i="77"/>
  <c r="Z35" i="77"/>
  <c r="Z34" i="77"/>
  <c r="Z33" i="77"/>
  <c r="Z32" i="77"/>
  <c r="Z31" i="77"/>
  <c r="Z30" i="77"/>
  <c r="Z29" i="77"/>
  <c r="Z28" i="77"/>
  <c r="Z27" i="77"/>
  <c r="Z26" i="77"/>
  <c r="Z25" i="77"/>
  <c r="Z24" i="77"/>
  <c r="Z23" i="77"/>
  <c r="Z22" i="77"/>
  <c r="Z21" i="77"/>
  <c r="Z20" i="77"/>
  <c r="Z19" i="77"/>
  <c r="Z18" i="77"/>
  <c r="Z17" i="77"/>
  <c r="Z16" i="77"/>
  <c r="Z15" i="77"/>
  <c r="Z14" i="77"/>
  <c r="Z43" i="75"/>
  <c r="Z42" i="75"/>
  <c r="Z41" i="75"/>
  <c r="Z40" i="75"/>
  <c r="Z39" i="75"/>
  <c r="Z38" i="75"/>
  <c r="Z37" i="75"/>
  <c r="Z36" i="75"/>
  <c r="Z35" i="75"/>
  <c r="Z34" i="75"/>
  <c r="Z33" i="75"/>
  <c r="Z32" i="75"/>
  <c r="Z31" i="75"/>
  <c r="Z30" i="75"/>
  <c r="Z29" i="75"/>
  <c r="Z28" i="75"/>
  <c r="Z27" i="75"/>
  <c r="Z26" i="75"/>
  <c r="Z25" i="75"/>
  <c r="Z24" i="75"/>
  <c r="Z23" i="75"/>
  <c r="Z22" i="75"/>
  <c r="Z21" i="75"/>
  <c r="Z20" i="75"/>
  <c r="Z19" i="75"/>
  <c r="Z18" i="75"/>
  <c r="Z17" i="75"/>
  <c r="Z16" i="75"/>
  <c r="Z15" i="75"/>
  <c r="Z14" i="75"/>
  <c r="Z44" i="76"/>
  <c r="Z43" i="76"/>
  <c r="Z42" i="76"/>
  <c r="Z41" i="76"/>
  <c r="Z40" i="76"/>
  <c r="Z39" i="76"/>
  <c r="Z38" i="76"/>
  <c r="Z37" i="76"/>
  <c r="Z36" i="76"/>
  <c r="Z35" i="76"/>
  <c r="Z34" i="76"/>
  <c r="Z33" i="76"/>
  <c r="Z32" i="76"/>
  <c r="Z31" i="76"/>
  <c r="Z30" i="76"/>
  <c r="Z29" i="76"/>
  <c r="Z28" i="76"/>
  <c r="Z27" i="76"/>
  <c r="Z26" i="76"/>
  <c r="Z25" i="76"/>
  <c r="Z24" i="76"/>
  <c r="Z23" i="76"/>
  <c r="Z22" i="76"/>
  <c r="Z21" i="76"/>
  <c r="Z20" i="76"/>
  <c r="Z19" i="76"/>
  <c r="Z18" i="76"/>
  <c r="Z17" i="76"/>
  <c r="Z16" i="76"/>
  <c r="Z15" i="76"/>
  <c r="Z14" i="76"/>
  <c r="Z14" i="86"/>
  <c r="Z15" i="86"/>
  <c r="Z16" i="86"/>
  <c r="Z17" i="86"/>
  <c r="Z18" i="86"/>
  <c r="Z19" i="86"/>
  <c r="Z20" i="86"/>
  <c r="Z21" i="86"/>
  <c r="Z22" i="86"/>
  <c r="Z23" i="86"/>
  <c r="Z24" i="86"/>
  <c r="Z25" i="86"/>
  <c r="Z26" i="86"/>
  <c r="Z27" i="86"/>
  <c r="Z28" i="86"/>
  <c r="Z29" i="86"/>
  <c r="Z30" i="86"/>
  <c r="Z31" i="86"/>
  <c r="Z32" i="86"/>
  <c r="Z33" i="86"/>
  <c r="Z34" i="86"/>
  <c r="Z35" i="86"/>
  <c r="Z36" i="86"/>
  <c r="Z37" i="86"/>
  <c r="Z38" i="86"/>
  <c r="Z39" i="86"/>
  <c r="Z40" i="86"/>
  <c r="Z41" i="86"/>
  <c r="Z42" i="86"/>
  <c r="Z43" i="86"/>
  <c r="Z44" i="86"/>
  <c r="M45" i="77"/>
  <c r="L45" i="77"/>
  <c r="M44" i="75"/>
  <c r="L44" i="75"/>
  <c r="D40" i="89"/>
  <c r="D44" i="89"/>
  <c r="D48" i="89"/>
  <c r="C39" i="89"/>
  <c r="C43" i="89"/>
  <c r="C47" i="89"/>
  <c r="D41" i="89"/>
  <c r="D45" i="89"/>
  <c r="D49" i="89"/>
  <c r="C40" i="89"/>
  <c r="C44" i="89"/>
  <c r="C48" i="89"/>
  <c r="D42" i="89"/>
  <c r="D46" i="89"/>
  <c r="D50" i="89"/>
  <c r="C41" i="89"/>
  <c r="C45" i="89"/>
  <c r="C49" i="89"/>
  <c r="C38" i="89"/>
  <c r="D43" i="89"/>
  <c r="C46" i="89"/>
  <c r="D47" i="89"/>
  <c r="C50" i="89"/>
  <c r="D38" i="89"/>
  <c r="D39" i="89"/>
  <c r="C42" i="89"/>
  <c r="P45" i="86"/>
  <c r="P44" i="83"/>
  <c r="P45" i="77"/>
  <c r="P45" i="76"/>
  <c r="P45" i="78"/>
  <c r="P45" i="79"/>
  <c r="P45" i="80"/>
  <c r="P45" i="81"/>
  <c r="P45" i="87"/>
  <c r="P43" i="73"/>
  <c r="P44" i="75"/>
  <c r="P44" i="82"/>
  <c r="P44" i="84"/>
  <c r="K8" i="79"/>
  <c r="K8" i="76"/>
  <c r="K8" i="75"/>
  <c r="K8" i="77"/>
  <c r="K8" i="78"/>
  <c r="K8" i="82"/>
  <c r="K8" i="84"/>
  <c r="K8" i="73"/>
  <c r="K8" i="86"/>
  <c r="K8" i="83"/>
  <c r="K8" i="80"/>
  <c r="K8" i="81"/>
  <c r="K8" i="87"/>
  <c r="E70" i="89"/>
  <c r="P60" i="86"/>
  <c r="P60" i="78"/>
  <c r="P60" i="73"/>
  <c r="P60" i="76"/>
  <c r="P60" i="75"/>
  <c r="P60" i="77"/>
  <c r="P60" i="82"/>
  <c r="P60" i="79"/>
  <c r="P60" i="83"/>
  <c r="P60" i="80"/>
  <c r="P60" i="81"/>
  <c r="E66" i="89"/>
  <c r="P62" i="87"/>
  <c r="P62" i="73"/>
  <c r="P62" i="83"/>
  <c r="E65" i="89"/>
  <c r="E64" i="89"/>
  <c r="C58" i="89"/>
  <c r="C59" i="89"/>
  <c r="P62" i="77"/>
  <c r="E60" i="89"/>
  <c r="C60" i="89"/>
  <c r="E54" i="89"/>
  <c r="C54" i="89"/>
  <c r="P62" i="80"/>
  <c r="P62" i="82"/>
  <c r="P62" i="84"/>
  <c r="P62" i="78"/>
  <c r="P62" i="76"/>
  <c r="E55" i="89"/>
  <c r="P62" i="81"/>
  <c r="P62" i="79"/>
  <c r="P62" i="75"/>
  <c r="C55" i="89"/>
  <c r="E56" i="89"/>
  <c r="C56" i="89"/>
  <c r="F21" i="89"/>
  <c r="F15" i="89"/>
  <c r="P63" i="87"/>
  <c r="A22" i="16" a="1"/>
  <c r="A22" i="16"/>
  <c r="E22" i="16"/>
  <c r="B22" i="16" a="1"/>
  <c r="B22" i="16"/>
  <c r="C22" i="16"/>
  <c r="A44" i="16" a="1"/>
  <c r="A44" i="16"/>
  <c r="B44" i="16"/>
  <c r="C44" i="16"/>
  <c r="A56" i="16" a="1"/>
  <c r="A56" i="16"/>
  <c r="C56" i="16"/>
  <c r="B56" i="16"/>
  <c r="A16" i="16" a="1"/>
  <c r="A16" i="16"/>
  <c r="E16" i="16"/>
  <c r="B16" i="16" a="1"/>
  <c r="B16" i="16"/>
  <c r="C16" i="16"/>
  <c r="A31" i="16" a="1"/>
  <c r="A31" i="16"/>
  <c r="E31" i="16"/>
  <c r="B31" i="16" a="1"/>
  <c r="B31" i="16"/>
  <c r="C31" i="16"/>
  <c r="A33" i="16" a="1"/>
  <c r="A33" i="16"/>
  <c r="B33" i="16" a="1"/>
  <c r="B33" i="16"/>
  <c r="E33" i="16"/>
  <c r="C33" i="16"/>
  <c r="A50" i="16" a="1"/>
  <c r="A50" i="16"/>
  <c r="C50" i="16"/>
  <c r="B50" i="16"/>
  <c r="A58" i="16" a="1"/>
  <c r="A58" i="16"/>
  <c r="C58" i="16"/>
  <c r="B58" i="16"/>
  <c r="A30" i="16" a="1"/>
  <c r="A30" i="16"/>
  <c r="E30" i="16"/>
  <c r="B30" i="16" a="1"/>
  <c r="B30" i="16"/>
  <c r="C30" i="16"/>
  <c r="A19" i="16" a="1"/>
  <c r="A19" i="16"/>
  <c r="C19" i="16"/>
  <c r="E19" i="16"/>
  <c r="B19" i="16" a="1"/>
  <c r="B19" i="16"/>
  <c r="A61" i="16" a="1"/>
  <c r="A61" i="16"/>
  <c r="B61" i="16"/>
  <c r="C61" i="16"/>
  <c r="A14" i="16" a="1"/>
  <c r="A14" i="16"/>
  <c r="B14" i="16" a="1"/>
  <c r="B14" i="16"/>
  <c r="E14" i="16"/>
  <c r="C14" i="16"/>
  <c r="A18" i="16" a="1"/>
  <c r="A18" i="16"/>
  <c r="E18" i="16"/>
  <c r="B18" i="16" a="1"/>
  <c r="B18" i="16"/>
  <c r="C18" i="16"/>
  <c r="A49" i="16" a="1"/>
  <c r="A49" i="16"/>
  <c r="C49" i="16"/>
  <c r="B49" i="16"/>
  <c r="A32" i="16" a="1"/>
  <c r="A32" i="16"/>
  <c r="B32" i="16" a="1"/>
  <c r="B32" i="16"/>
  <c r="E32" i="16"/>
  <c r="C32" i="16"/>
  <c r="A60" i="16" a="1"/>
  <c r="A60" i="16"/>
  <c r="B60" i="16"/>
  <c r="C60" i="16"/>
  <c r="A43" i="16" a="1"/>
  <c r="A43" i="16"/>
  <c r="B43" i="16"/>
  <c r="C43" i="16"/>
  <c r="A29" i="16" a="1"/>
  <c r="A29" i="16"/>
  <c r="C29" i="16"/>
  <c r="E29" i="16"/>
  <c r="B29" i="16" a="1"/>
  <c r="B29" i="16"/>
  <c r="A53" i="16" a="1"/>
  <c r="A53" i="16"/>
  <c r="C53" i="16"/>
  <c r="B53" i="16"/>
  <c r="A26" i="16" a="1"/>
  <c r="A26" i="16"/>
  <c r="C26" i="16"/>
  <c r="E26" i="16"/>
  <c r="B26" i="16" a="1"/>
  <c r="B26" i="16"/>
  <c r="A17" i="16" a="1"/>
  <c r="A17" i="16"/>
  <c r="B17" i="16" a="1"/>
  <c r="B17" i="16"/>
  <c r="C17" i="16"/>
  <c r="E17" i="16"/>
  <c r="A63" i="16" a="1"/>
  <c r="A63" i="16"/>
  <c r="B63" i="16"/>
  <c r="C63" i="16"/>
  <c r="A28" i="16" a="1"/>
  <c r="A28" i="16"/>
  <c r="C28" i="16"/>
  <c r="E28" i="16"/>
  <c r="B28" i="16" a="1"/>
  <c r="B28" i="16"/>
  <c r="A27" i="16" a="1"/>
  <c r="A27" i="16"/>
  <c r="E27" i="16"/>
  <c r="B27" i="16" a="1"/>
  <c r="B27" i="16"/>
  <c r="C27" i="16"/>
  <c r="A20" i="16" a="1"/>
  <c r="A20" i="16"/>
  <c r="E20" i="16"/>
  <c r="B20" i="16" a="1"/>
  <c r="B20" i="16"/>
  <c r="C20" i="16"/>
  <c r="A65" i="16" a="1"/>
  <c r="A65" i="16"/>
  <c r="C65" i="16"/>
  <c r="B65" i="16"/>
  <c r="A55" i="16" a="1"/>
  <c r="A55" i="16"/>
  <c r="C55" i="16"/>
  <c r="B55" i="16"/>
  <c r="A34" i="16" a="1"/>
  <c r="A34" i="16"/>
  <c r="B34" i="16" a="1"/>
  <c r="B34" i="16"/>
  <c r="E34" i="16"/>
  <c r="C34" i="16"/>
  <c r="A21" i="16" a="1"/>
  <c r="A21" i="16"/>
  <c r="B21" i="16" a="1"/>
  <c r="B21" i="16"/>
  <c r="C21" i="16"/>
  <c r="E21" i="16"/>
  <c r="A62" i="16" a="1"/>
  <c r="A62" i="16"/>
  <c r="C62" i="16"/>
  <c r="B62" i="16"/>
  <c r="A52" i="16" a="1"/>
  <c r="A52" i="16"/>
  <c r="C52" i="16"/>
  <c r="B52" i="16"/>
  <c r="A51" i="16" a="1"/>
  <c r="A51" i="16"/>
  <c r="C51" i="16"/>
  <c r="B51" i="16"/>
  <c r="A24" i="16" a="1"/>
  <c r="A24" i="16"/>
  <c r="B24" i="16" a="1"/>
  <c r="B24" i="16"/>
  <c r="E24" i="16"/>
  <c r="C24" i="16"/>
  <c r="A47" i="16" a="1"/>
  <c r="A47" i="16"/>
  <c r="C47" i="16"/>
  <c r="B47" i="16"/>
  <c r="A48" i="16" a="1"/>
  <c r="A48" i="16"/>
  <c r="B48" i="16"/>
  <c r="C48" i="16"/>
  <c r="A25" i="16" a="1"/>
  <c r="A25" i="16"/>
  <c r="C25" i="16"/>
  <c r="B25" i="16" a="1"/>
  <c r="B25" i="16"/>
  <c r="E25" i="16"/>
  <c r="A64" i="16" a="1"/>
  <c r="A64" i="16"/>
  <c r="B64" i="16"/>
  <c r="C64" i="16"/>
  <c r="A23" i="16" a="1"/>
  <c r="A23" i="16"/>
  <c r="C23" i="16"/>
  <c r="E23" i="16"/>
  <c r="B23" i="16" a="1"/>
  <c r="B23" i="16"/>
  <c r="A15" i="16" a="1"/>
  <c r="A15" i="16"/>
  <c r="C15" i="16"/>
  <c r="E15" i="16"/>
  <c r="B15" i="16" a="1"/>
  <c r="B15" i="16"/>
  <c r="A54" i="16" a="1"/>
  <c r="A54" i="16"/>
  <c r="B54" i="16"/>
  <c r="C54" i="16"/>
  <c r="A59" i="16" a="1"/>
  <c r="A59" i="16"/>
  <c r="C59" i="16"/>
  <c r="B59" i="16"/>
  <c r="A57" i="16" a="1"/>
  <c r="A57" i="16"/>
  <c r="C57" i="16"/>
  <c r="B57" i="16"/>
  <c r="A45" i="16" a="1"/>
  <c r="A45" i="16"/>
  <c r="C45" i="16"/>
  <c r="B45" i="16"/>
  <c r="A46" i="16" a="1"/>
  <c r="A46" i="16"/>
  <c r="C46" i="16"/>
  <c r="B46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42" i="16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N8" i="87"/>
  <c r="N8" i="81"/>
  <c r="N8" i="84"/>
  <c r="N8" i="80"/>
  <c r="N8" i="83"/>
  <c r="N8" i="79"/>
  <c r="N8" i="78"/>
  <c r="N8" i="82"/>
  <c r="N8" i="77"/>
  <c r="N8" i="75"/>
  <c r="N8" i="76"/>
  <c r="N8" i="73"/>
  <c r="N8" i="86"/>
  <c r="P57" i="86"/>
  <c r="P55" i="86"/>
  <c r="K45" i="86"/>
  <c r="K45" i="87"/>
  <c r="K44" i="75"/>
  <c r="K45" i="79"/>
  <c r="K44" i="83"/>
  <c r="K45" i="77"/>
  <c r="K44" i="84"/>
  <c r="K45" i="81"/>
  <c r="K45" i="76"/>
  <c r="K43" i="73"/>
  <c r="K44" i="82"/>
  <c r="K45" i="78"/>
  <c r="K45" i="80"/>
  <c r="P53" i="86"/>
  <c r="P53" i="73"/>
  <c r="P55" i="73"/>
  <c r="P57" i="73"/>
  <c r="P55" i="76"/>
  <c r="P57" i="76"/>
  <c r="P55" i="75"/>
  <c r="P57" i="75"/>
  <c r="P55" i="77"/>
  <c r="P57" i="77"/>
  <c r="P55" i="82"/>
  <c r="P57" i="82"/>
  <c r="P55" i="78"/>
  <c r="P57" i="78"/>
  <c r="P53" i="79"/>
  <c r="P55" i="79"/>
  <c r="P57" i="79"/>
  <c r="P55" i="83"/>
  <c r="P57" i="83"/>
  <c r="P55" i="80"/>
  <c r="P57" i="80"/>
  <c r="P55" i="84"/>
  <c r="P57" i="84"/>
  <c r="P55" i="81"/>
  <c r="P57" i="81"/>
  <c r="P55" i="87"/>
  <c r="P57" i="87"/>
  <c r="E114" i="3"/>
  <c r="C114" i="3"/>
  <c r="E113" i="3"/>
  <c r="C113" i="3"/>
  <c r="E116" i="3"/>
  <c r="C116" i="3"/>
  <c r="E115" i="3"/>
  <c r="C115" i="3"/>
  <c r="U51" i="86"/>
  <c r="U52" i="86"/>
  <c r="V51" i="86"/>
  <c r="V52" i="86"/>
  <c r="AH51" i="86"/>
  <c r="AH52" i="86"/>
  <c r="L66" i="86"/>
  <c r="L67" i="86"/>
  <c r="AA52" i="86"/>
  <c r="AB52" i="86"/>
  <c r="L70" i="86"/>
  <c r="K6" i="86"/>
  <c r="E8" i="86"/>
  <c r="C15" i="89"/>
  <c r="H78" i="86"/>
  <c r="H81" i="86"/>
  <c r="H82" i="86"/>
  <c r="H83" i="86"/>
  <c r="H84" i="86"/>
  <c r="H79" i="86"/>
  <c r="H80" i="86"/>
  <c r="H87" i="86"/>
  <c r="H88" i="86"/>
  <c r="H89" i="86"/>
  <c r="H90" i="86"/>
  <c r="H91" i="86"/>
  <c r="H92" i="86"/>
  <c r="H93" i="86"/>
  <c r="H94" i="86"/>
  <c r="H95" i="86"/>
  <c r="H96" i="86"/>
  <c r="H97" i="86"/>
  <c r="H99" i="86"/>
  <c r="H100" i="86"/>
  <c r="H101" i="86"/>
  <c r="H102" i="86"/>
  <c r="H103" i="86"/>
  <c r="H105" i="86"/>
  <c r="H106" i="86"/>
  <c r="H107" i="86"/>
  <c r="H108" i="86"/>
  <c r="H109" i="86"/>
  <c r="H110" i="86"/>
  <c r="H111" i="86"/>
  <c r="K54" i="86"/>
  <c r="K55" i="86"/>
  <c r="H78" i="73"/>
  <c r="H81" i="73"/>
  <c r="H82" i="73"/>
  <c r="H83" i="73"/>
  <c r="H84" i="73"/>
  <c r="H79" i="73"/>
  <c r="H80" i="73"/>
  <c r="H87" i="73"/>
  <c r="H88" i="73"/>
  <c r="H89" i="73"/>
  <c r="H90" i="73"/>
  <c r="H91" i="73"/>
  <c r="H92" i="73"/>
  <c r="H93" i="73"/>
  <c r="H94" i="73"/>
  <c r="H95" i="73"/>
  <c r="H96" i="73"/>
  <c r="H97" i="73"/>
  <c r="H99" i="73"/>
  <c r="H100" i="73"/>
  <c r="H101" i="73"/>
  <c r="H102" i="73"/>
  <c r="H103" i="73"/>
  <c r="H105" i="73"/>
  <c r="H106" i="73"/>
  <c r="H107" i="73"/>
  <c r="H108" i="73"/>
  <c r="H109" i="73"/>
  <c r="H110" i="73"/>
  <c r="H111" i="73"/>
  <c r="U53" i="73"/>
  <c r="V53" i="73"/>
  <c r="X53" i="73"/>
  <c r="Y53" i="73"/>
  <c r="K53" i="73"/>
  <c r="AH52" i="73"/>
  <c r="K6" i="73"/>
  <c r="E8" i="73"/>
  <c r="C16" i="89"/>
  <c r="K6" i="76"/>
  <c r="E8" i="76"/>
  <c r="C17" i="89"/>
  <c r="H81" i="75"/>
  <c r="H82" i="75"/>
  <c r="H83" i="75"/>
  <c r="H84" i="75"/>
  <c r="H79" i="75"/>
  <c r="H80" i="75"/>
  <c r="H87" i="75"/>
  <c r="H88" i="75"/>
  <c r="H89" i="75"/>
  <c r="H90" i="75"/>
  <c r="H91" i="75"/>
  <c r="H92" i="75"/>
  <c r="H93" i="75"/>
  <c r="H94" i="75"/>
  <c r="H95" i="75"/>
  <c r="H96" i="75"/>
  <c r="H97" i="75"/>
  <c r="H99" i="75"/>
  <c r="H100" i="75"/>
  <c r="H101" i="75"/>
  <c r="H102" i="75"/>
  <c r="H103" i="75"/>
  <c r="H105" i="75"/>
  <c r="H106" i="75"/>
  <c r="H107" i="75"/>
  <c r="H108" i="75"/>
  <c r="H109" i="75"/>
  <c r="H110" i="75"/>
  <c r="H111" i="75"/>
  <c r="U53" i="75"/>
  <c r="V53" i="75"/>
  <c r="X53" i="75"/>
  <c r="Y53" i="75"/>
  <c r="U51" i="75"/>
  <c r="U52" i="75"/>
  <c r="V51" i="75"/>
  <c r="V52" i="75"/>
  <c r="AH51" i="75"/>
  <c r="AH52" i="75"/>
  <c r="L66" i="75"/>
  <c r="AA51" i="75"/>
  <c r="AA52" i="75"/>
  <c r="AB51" i="75"/>
  <c r="AB52" i="75"/>
  <c r="L70" i="75"/>
  <c r="K54" i="75"/>
  <c r="L71" i="75"/>
  <c r="L67" i="75"/>
  <c r="K55" i="75"/>
  <c r="K6" i="75"/>
  <c r="AH51" i="82"/>
  <c r="AH52" i="82"/>
  <c r="L66" i="82"/>
  <c r="AA51" i="82"/>
  <c r="AA52" i="82"/>
  <c r="AB51" i="82"/>
  <c r="AB52" i="82"/>
  <c r="L70" i="82"/>
  <c r="K54" i="82"/>
  <c r="L71" i="82"/>
  <c r="L67" i="82"/>
  <c r="K55" i="82"/>
  <c r="E8" i="75"/>
  <c r="C18" i="89"/>
  <c r="U51" i="87"/>
  <c r="U52" i="87"/>
  <c r="V51" i="87"/>
  <c r="V52" i="87"/>
  <c r="AH51" i="87"/>
  <c r="AH52" i="87"/>
  <c r="L66" i="87"/>
  <c r="AA51" i="87"/>
  <c r="AA52" i="87"/>
  <c r="AB51" i="87"/>
  <c r="AB52" i="87"/>
  <c r="L70" i="87"/>
  <c r="K54" i="87"/>
  <c r="L71" i="87"/>
  <c r="L67" i="87"/>
  <c r="K55" i="87"/>
  <c r="K6" i="87"/>
  <c r="E8" i="87"/>
  <c r="C27" i="89"/>
  <c r="AA51" i="79"/>
  <c r="AB51" i="79"/>
  <c r="AA52" i="79"/>
  <c r="AB52" i="79"/>
  <c r="K6" i="79"/>
  <c r="AA51" i="83"/>
  <c r="AB51" i="83"/>
  <c r="AA52" i="83"/>
  <c r="AB52" i="83"/>
  <c r="K6" i="83"/>
  <c r="AA51" i="80"/>
  <c r="AB51" i="80"/>
  <c r="AA52" i="80"/>
  <c r="AB52" i="80"/>
  <c r="K6" i="80"/>
  <c r="AA51" i="84"/>
  <c r="AB51" i="84"/>
  <c r="AA52" i="84"/>
  <c r="AB52" i="84"/>
  <c r="K6" i="84"/>
  <c r="AA51" i="81"/>
  <c r="AB51" i="81"/>
  <c r="AA52" i="81"/>
  <c r="AB52" i="81"/>
  <c r="K6" i="81"/>
  <c r="D27" i="89"/>
  <c r="E8" i="81"/>
  <c r="C26" i="89"/>
  <c r="L66" i="73"/>
  <c r="K54" i="73"/>
  <c r="AH51" i="76"/>
  <c r="AH52" i="76"/>
  <c r="L66" i="76"/>
  <c r="K54" i="76"/>
  <c r="L67" i="76"/>
  <c r="K55" i="76"/>
  <c r="H78" i="75"/>
  <c r="K53" i="75"/>
  <c r="U51" i="77"/>
  <c r="U52" i="77"/>
  <c r="V51" i="77"/>
  <c r="V52" i="77"/>
  <c r="AH51" i="77"/>
  <c r="AH52" i="77"/>
  <c r="L66" i="77"/>
  <c r="AA51" i="77"/>
  <c r="AA52" i="77"/>
  <c r="AB51" i="77"/>
  <c r="AB52" i="77"/>
  <c r="L70" i="77"/>
  <c r="K54" i="77"/>
  <c r="L71" i="77"/>
  <c r="L67" i="77"/>
  <c r="K55" i="77"/>
  <c r="U51" i="78"/>
  <c r="U52" i="78"/>
  <c r="V51" i="78"/>
  <c r="V52" i="78"/>
  <c r="AH51" i="78"/>
  <c r="AH52" i="78"/>
  <c r="L66" i="78"/>
  <c r="AA51" i="78"/>
  <c r="AA52" i="78"/>
  <c r="AB51" i="78"/>
  <c r="AB52" i="78"/>
  <c r="L70" i="78"/>
  <c r="K54" i="78"/>
  <c r="L71" i="78"/>
  <c r="L67" i="78"/>
  <c r="K55" i="78"/>
  <c r="U51" i="79"/>
  <c r="U52" i="79"/>
  <c r="V51" i="79"/>
  <c r="V52" i="79"/>
  <c r="AH51" i="79"/>
  <c r="AH52" i="79"/>
  <c r="L66" i="79"/>
  <c r="L70" i="79"/>
  <c r="K54" i="79"/>
  <c r="L71" i="79"/>
  <c r="L67" i="79"/>
  <c r="K55" i="79"/>
  <c r="AH51" i="83"/>
  <c r="AH52" i="83"/>
  <c r="L66" i="83"/>
  <c r="L70" i="83"/>
  <c r="K54" i="83"/>
  <c r="L71" i="83"/>
  <c r="L67" i="83"/>
  <c r="K55" i="83"/>
  <c r="U51" i="80"/>
  <c r="U52" i="80"/>
  <c r="V51" i="80"/>
  <c r="V52" i="80"/>
  <c r="AH51" i="80"/>
  <c r="AH52" i="80"/>
  <c r="L66" i="80"/>
  <c r="L70" i="80"/>
  <c r="K54" i="80"/>
  <c r="L71" i="80"/>
  <c r="L67" i="80"/>
  <c r="K55" i="80"/>
  <c r="AH51" i="84"/>
  <c r="AH52" i="84"/>
  <c r="L66" i="84"/>
  <c r="L70" i="84"/>
  <c r="K54" i="84"/>
  <c r="L71" i="84"/>
  <c r="L67" i="84"/>
  <c r="K55" i="84"/>
  <c r="U51" i="81"/>
  <c r="U52" i="81"/>
  <c r="V51" i="81"/>
  <c r="V52" i="81"/>
  <c r="AH51" i="81"/>
  <c r="AH52" i="81"/>
  <c r="L66" i="81"/>
  <c r="L70" i="81"/>
  <c r="K54" i="81"/>
  <c r="L71" i="81"/>
  <c r="L67" i="81"/>
  <c r="K55" i="81"/>
  <c r="E8" i="84"/>
  <c r="C25" i="89"/>
  <c r="E8" i="80"/>
  <c r="C24" i="89"/>
  <c r="E8" i="83"/>
  <c r="C23" i="89"/>
  <c r="E8" i="79"/>
  <c r="C22" i="89"/>
  <c r="K6" i="78"/>
  <c r="E8" i="78"/>
  <c r="C21" i="89"/>
  <c r="K6" i="77"/>
  <c r="K6" i="82"/>
  <c r="D21" i="89"/>
  <c r="E8" i="82"/>
  <c r="C20" i="89"/>
  <c r="E8" i="77"/>
  <c r="C19" i="89"/>
  <c r="Q6" i="84"/>
  <c r="L61" i="84"/>
  <c r="L73" i="84"/>
  <c r="L60" i="84"/>
  <c r="L72" i="84"/>
  <c r="L69" i="84"/>
  <c r="L68" i="84"/>
  <c r="Q6" i="83"/>
  <c r="L61" i="83"/>
  <c r="L73" i="83"/>
  <c r="L60" i="83"/>
  <c r="L72" i="83"/>
  <c r="L69" i="83"/>
  <c r="L68" i="83"/>
  <c r="Q6" i="82"/>
  <c r="L61" i="82"/>
  <c r="L73" i="82"/>
  <c r="L60" i="82"/>
  <c r="L72" i="82"/>
  <c r="L69" i="82"/>
  <c r="L68" i="82"/>
  <c r="Q6" i="87"/>
  <c r="L61" i="87"/>
  <c r="L73" i="87"/>
  <c r="L60" i="87"/>
  <c r="L72" i="87"/>
  <c r="L69" i="87"/>
  <c r="L68" i="87"/>
  <c r="Q6" i="81"/>
  <c r="L61" i="81"/>
  <c r="L73" i="81"/>
  <c r="L60" i="81"/>
  <c r="L72" i="81"/>
  <c r="L69" i="81"/>
  <c r="L68" i="81"/>
  <c r="Q6" i="80"/>
  <c r="L61" i="80"/>
  <c r="L73" i="80"/>
  <c r="L60" i="80"/>
  <c r="L72" i="80"/>
  <c r="L69" i="80"/>
  <c r="L68" i="80"/>
  <c r="Q6" i="79"/>
  <c r="L61" i="79"/>
  <c r="L73" i="79"/>
  <c r="L60" i="79"/>
  <c r="L72" i="79"/>
  <c r="L69" i="79"/>
  <c r="L68" i="79"/>
  <c r="Q6" i="78"/>
  <c r="L61" i="78"/>
  <c r="L73" i="78"/>
  <c r="L60" i="78"/>
  <c r="L72" i="78"/>
  <c r="L69" i="78"/>
  <c r="L68" i="78"/>
  <c r="Q6" i="77"/>
  <c r="L61" i="77"/>
  <c r="L73" i="77"/>
  <c r="L60" i="77"/>
  <c r="L72" i="77"/>
  <c r="L69" i="77"/>
  <c r="L68" i="77"/>
  <c r="Q6" i="76"/>
  <c r="L61" i="76"/>
  <c r="L69" i="76"/>
  <c r="L60" i="76"/>
  <c r="L68" i="76"/>
  <c r="L69" i="73"/>
  <c r="L60" i="73"/>
  <c r="L68" i="73"/>
  <c r="Q6" i="75"/>
  <c r="Q6" i="86"/>
  <c r="L60" i="75"/>
  <c r="L54" i="75"/>
  <c r="L61" i="75"/>
  <c r="L55" i="75"/>
  <c r="L56" i="75"/>
  <c r="L56" i="82"/>
  <c r="L54" i="82"/>
  <c r="L55" i="82"/>
  <c r="L56" i="86"/>
  <c r="L60" i="86"/>
  <c r="L54" i="86"/>
  <c r="L61" i="86"/>
  <c r="L55" i="86"/>
  <c r="L50" i="86"/>
  <c r="L50" i="73"/>
  <c r="L54" i="73"/>
  <c r="L55" i="73"/>
  <c r="L56" i="73"/>
  <c r="L50" i="76"/>
  <c r="L54" i="76"/>
  <c r="L55" i="76"/>
  <c r="L56" i="76"/>
  <c r="L50" i="75"/>
  <c r="L50" i="77"/>
  <c r="L54" i="77"/>
  <c r="L55" i="77"/>
  <c r="L56" i="77"/>
  <c r="L50" i="82"/>
  <c r="L50" i="78"/>
  <c r="L54" i="78"/>
  <c r="L55" i="78"/>
  <c r="L56" i="78"/>
  <c r="L50" i="79"/>
  <c r="L54" i="79"/>
  <c r="L55" i="79"/>
  <c r="L56" i="79"/>
  <c r="L50" i="83"/>
  <c r="L54" i="83"/>
  <c r="L55" i="83"/>
  <c r="L56" i="83"/>
  <c r="L50" i="80"/>
  <c r="L54" i="80"/>
  <c r="L55" i="80"/>
  <c r="L56" i="80"/>
  <c r="L50" i="84"/>
  <c r="L54" i="84"/>
  <c r="L55" i="84"/>
  <c r="L56" i="84"/>
  <c r="L50" i="81"/>
  <c r="L54" i="81"/>
  <c r="L55" i="81"/>
  <c r="L56" i="81"/>
  <c r="L50" i="87"/>
  <c r="L54" i="87"/>
  <c r="L55" i="87"/>
  <c r="L56" i="87"/>
  <c r="L68" i="75"/>
  <c r="L69" i="75"/>
  <c r="L72" i="75"/>
  <c r="L73" i="75"/>
  <c r="L72" i="73"/>
  <c r="L73" i="73"/>
  <c r="L73" i="86"/>
  <c r="L72" i="86"/>
  <c r="L69" i="86"/>
  <c r="L68" i="86"/>
  <c r="L64" i="86"/>
  <c r="L65" i="86"/>
  <c r="L65" i="73"/>
  <c r="L64" i="75"/>
  <c r="L65" i="75"/>
  <c r="L64" i="73"/>
  <c r="L64" i="76"/>
  <c r="L65" i="76"/>
  <c r="L72" i="76"/>
  <c r="L73" i="76"/>
  <c r="L64" i="77"/>
  <c r="L65" i="77"/>
  <c r="L64" i="78"/>
  <c r="L65" i="78"/>
  <c r="L64" i="79"/>
  <c r="L65" i="79"/>
  <c r="L64" i="80"/>
  <c r="L65" i="80"/>
  <c r="L64" i="81"/>
  <c r="L65" i="81"/>
  <c r="L64" i="87"/>
  <c r="L65" i="87"/>
  <c r="L64" i="82"/>
  <c r="L65" i="82"/>
  <c r="L64" i="83"/>
  <c r="L65" i="83"/>
  <c r="L64" i="84"/>
  <c r="L65" i="84"/>
  <c r="L57" i="87"/>
  <c r="L57" i="86"/>
  <c r="L57" i="73"/>
  <c r="L57" i="76"/>
  <c r="L57" i="75"/>
  <c r="L57" i="77"/>
  <c r="L57" i="82"/>
  <c r="L57" i="78"/>
  <c r="L57" i="79"/>
  <c r="L57" i="83"/>
  <c r="L57" i="80"/>
  <c r="L57" i="84"/>
  <c r="L57" i="81"/>
  <c r="L59" i="87"/>
  <c r="Q8" i="87"/>
  <c r="L59" i="86"/>
  <c r="Q8" i="86"/>
  <c r="L59" i="73"/>
  <c r="Q8" i="73"/>
  <c r="L59" i="76"/>
  <c r="Q8" i="76"/>
  <c r="L59" i="75"/>
  <c r="Q8" i="75"/>
  <c r="L59" i="77"/>
  <c r="Q8" i="77"/>
  <c r="L59" i="82"/>
  <c r="Q8" i="82"/>
  <c r="L59" i="78"/>
  <c r="Q8" i="78"/>
  <c r="L59" i="79"/>
  <c r="Q8" i="79"/>
  <c r="L59" i="83"/>
  <c r="Q8" i="83"/>
  <c r="L59" i="80"/>
  <c r="Q8" i="80"/>
  <c r="L59" i="84"/>
  <c r="Q8" i="84"/>
  <c r="L59" i="81"/>
  <c r="Q8" i="81"/>
  <c r="N75" i="8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00000000-0006-0000-0300-000001000000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332E5FB5-78DF-460C-B38E-46D046A1E527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D1BBF448-E931-4571-AB3B-CD92BB835D21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BB70B882-E563-4B81-9892-5D24580BF7E5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66D73F10-AE55-4F89-81F7-182994BDC28D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00000000-0006-0000-0400-000001000000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59603C02-03AF-44F6-BAE9-4A2339AC1BE9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00000000-0006-0000-0600-000001000000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7018BDE5-842D-4CB6-97BA-64450AD65DF1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0B07218E-1EEB-4900-BC3B-46B0B320E508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CD345A95-E28A-4999-B5EE-F2F44ACE032F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0BB47245-9F75-4EE3-B246-9FDE6BC67ABF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E89D69B3-A089-44AC-9923-9519EF71188A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sharedStrings.xml><?xml version="1.0" encoding="utf-8"?>
<sst xmlns="http://schemas.openxmlformats.org/spreadsheetml/2006/main" count="2441" uniqueCount="445">
  <si>
    <t>Jahr:</t>
  </si>
  <si>
    <t>Funktion: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</si>
  <si>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</si>
  <si>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</si>
  <si>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</si>
  <si>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</si>
  <si>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</si>
  <si>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</si>
  <si>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</si>
  <si>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</si>
  <si>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</si>
  <si>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</si>
  <si>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</si>
  <si>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Überstunden</t>
  </si>
  <si>
    <t>Beginn</t>
  </si>
  <si>
    <t>Ende</t>
  </si>
  <si>
    <t>TD</t>
  </si>
  <si>
    <t>ND</t>
  </si>
  <si>
    <t>U</t>
  </si>
  <si>
    <t>n.b.</t>
  </si>
  <si>
    <t>Urlaub</t>
  </si>
  <si>
    <t>ZA</t>
  </si>
  <si>
    <t>K</t>
  </si>
  <si>
    <t>SU</t>
  </si>
  <si>
    <t>Sonderurlaub</t>
  </si>
  <si>
    <t>Jahr</t>
  </si>
  <si>
    <t>Monat</t>
  </si>
  <si>
    <t>Funktion</t>
  </si>
  <si>
    <t>Feiertage</t>
  </si>
  <si>
    <t>Neujahr</t>
  </si>
  <si>
    <t>Heilige Dreikönige</t>
  </si>
  <si>
    <t>Ostersonntag</t>
  </si>
  <si>
    <t>Ostermontag</t>
  </si>
  <si>
    <t>Staatsfeiertag</t>
  </si>
  <si>
    <t>Christi Himmelfahrt</t>
  </si>
  <si>
    <t>Pfingstmontag</t>
  </si>
  <si>
    <t>Fronleichnam</t>
  </si>
  <si>
    <t>Maria Himmelfahrt</t>
  </si>
  <si>
    <t>Nationalfeiertag</t>
  </si>
  <si>
    <t>Allerheiligen</t>
  </si>
  <si>
    <t>Christtag</t>
  </si>
  <si>
    <t>Stefanitag</t>
  </si>
  <si>
    <t>Maria Empfängnis</t>
  </si>
  <si>
    <t>Durchrechnung/Monat (h/Woche)</t>
  </si>
  <si>
    <t>Tage des Monats</t>
  </si>
  <si>
    <r>
      <rPr>
        <b/>
        <sz val="18"/>
        <rFont val="Calibri"/>
        <family val="2"/>
      </rPr>
      <t>Überstunden- und Außendienstbogen</t>
    </r>
  </si>
  <si>
    <r>
      <t xml:space="preserve">Name:                                                         </t>
    </r>
    <r>
      <rPr>
        <b/>
        <sz val="12"/>
        <rFont val="Calibri"/>
        <family val="2"/>
      </rPr>
      <t/>
    </r>
  </si>
  <si>
    <t xml:space="preserve">Pers.Nr.: </t>
  </si>
  <si>
    <t>Einreihung:</t>
  </si>
  <si>
    <t>Monat:</t>
  </si>
  <si>
    <t>Überstunden auszahlen (Finanzielle Abgeltung)</t>
  </si>
  <si>
    <r>
      <rPr>
        <b/>
        <sz val="12"/>
        <rFont val="Calibri"/>
        <family val="2"/>
      </rPr>
      <t>Ort und Gegenstand der Dienstleistung</t>
    </r>
  </si>
  <si>
    <r>
      <rPr>
        <b/>
        <sz val="12"/>
        <rFont val="Calibri"/>
        <family val="2"/>
      </rPr>
      <t>Tag</t>
    </r>
  </si>
  <si>
    <r>
      <rPr>
        <b/>
        <sz val="12"/>
        <rFont val="Calibri"/>
        <family val="2"/>
      </rPr>
      <t>Ende</t>
    </r>
  </si>
  <si>
    <r>
      <rPr>
        <b/>
        <sz val="12"/>
        <rFont val="Calibri"/>
        <family val="2"/>
      </rPr>
      <t>Dauer</t>
    </r>
  </si>
  <si>
    <t>Summe:</t>
  </si>
  <si>
    <t xml:space="preserve">Übertrag:  </t>
  </si>
  <si>
    <t>Überstunden für Zeitausgleich vormerken</t>
  </si>
  <si>
    <t>Monat - Datumsformat</t>
  </si>
  <si>
    <t>Monat - Textformat</t>
  </si>
  <si>
    <t>Personalnummer:</t>
  </si>
  <si>
    <t>Unterschrift des Dienststellenleiters:</t>
  </si>
  <si>
    <t>A3</t>
  </si>
  <si>
    <t xml:space="preserve"> Wien, am</t>
  </si>
  <si>
    <t>Wien, am</t>
  </si>
  <si>
    <t>DB</t>
  </si>
  <si>
    <t>Tagdienst 5h</t>
  </si>
  <si>
    <t>Tagdienst 8h</t>
  </si>
  <si>
    <t>Tagdienst 10h (Doppelblock)</t>
  </si>
  <si>
    <t>PK</t>
  </si>
  <si>
    <t>Verlängerter Dienst (Nachtdienst)</t>
  </si>
  <si>
    <t>TD8</t>
  </si>
  <si>
    <t>Werktage</t>
  </si>
  <si>
    <t>Wochenendtage</t>
  </si>
  <si>
    <t>Soll-Arbeitszeit</t>
  </si>
  <si>
    <t xml:space="preserve">Zugrunde liegt die gesetzliche Regelung (KA-AZG), wonach Urlaube, Sonderurlaube, Pflegekarenz und Krankenstände (wenn noch keine Diensteinteilung erfolgt ist) gleich zu behandeln sind. </t>
  </si>
  <si>
    <t>Krankenstand ohne erfolgte Diensteinteilung</t>
  </si>
  <si>
    <t>Gehaltsansätze</t>
  </si>
  <si>
    <t>Schema IV KAV</t>
  </si>
  <si>
    <t>ÜST Tag</t>
  </si>
  <si>
    <t>IST Arbeitszeit h</t>
  </si>
  <si>
    <t>SOLL Arbeitszeit h</t>
  </si>
  <si>
    <t>h &gt; Sollzeit</t>
  </si>
  <si>
    <t>Grundgehalt</t>
  </si>
  <si>
    <t>TD9</t>
  </si>
  <si>
    <t>Tagdienst 9h</t>
  </si>
  <si>
    <t>TD7</t>
  </si>
  <si>
    <t>Tagdienst 7h</t>
  </si>
  <si>
    <t>TD6</t>
  </si>
  <si>
    <t>Tagdienst 6h</t>
  </si>
  <si>
    <t>Jänner</t>
  </si>
  <si>
    <t>Gehaltsstufe</t>
  </si>
  <si>
    <t>Dienste Sa (FA 9h)</t>
  </si>
  <si>
    <t>Dienste So (FA 16h)</t>
  </si>
  <si>
    <t>Dienste Ft (FA 16h)</t>
  </si>
  <si>
    <t>Dienste So vor Feiertag (FA +9h)</t>
  </si>
  <si>
    <t>Dienste Ft vor Ft (FA +9h)</t>
  </si>
  <si>
    <t>Dienste Ft vor So (FA +9h)</t>
  </si>
  <si>
    <t>Überstunden Tag €</t>
  </si>
  <si>
    <t>Überstunden Nacht €</t>
  </si>
  <si>
    <t>Überstunden &gt; Soll AZ (Wochentag/Samstag) €</t>
  </si>
  <si>
    <t>Überstunden &gt; Soll AZ (Sonntag/Feiertag) €</t>
  </si>
  <si>
    <t>Überstunden Nacht (22-6Uhr) Anzahl</t>
  </si>
  <si>
    <t>Stunden &gt; Sollzeit (Nacht/Sonntag/Feiertag)</t>
  </si>
  <si>
    <t>WT</t>
  </si>
  <si>
    <t>06.00 - 09.00</t>
  </si>
  <si>
    <t>08.00 - 22.00</t>
  </si>
  <si>
    <t>22.00 - 06.00</t>
  </si>
  <si>
    <t>h &gt; Sollarbeitszeit</t>
  </si>
  <si>
    <t>ÜST Nacht</t>
  </si>
  <si>
    <t xml:space="preserve">Wir sind uns bewusst, dass durch den Rechner nicht alle gängigen Tagdienste erfasst sind. Sollte ein Bedarf für nicht inkludierte Tagdienstvarianten bestehen, bitten wir um Rückmeldung. </t>
  </si>
  <si>
    <t>DV</t>
  </si>
  <si>
    <t>Dienstortverlagerung</t>
  </si>
  <si>
    <t>Urlaub (bereits im Rahmen der Diensteinteilung geplant)</t>
  </si>
  <si>
    <t>TB-IST</t>
  </si>
  <si>
    <t>Arbeitszeitnachweis &amp; Gehaltsrechner</t>
  </si>
  <si>
    <t>Datum</t>
  </si>
  <si>
    <t>einzelne ZA h</t>
  </si>
  <si>
    <t>Pflegekarenz ohne erfolgte Diensteinteilung</t>
  </si>
  <si>
    <t>TD12,5</t>
  </si>
  <si>
    <t>Tagdienst 12,5h</t>
  </si>
  <si>
    <t>ND12,5</t>
  </si>
  <si>
    <t>Nachdienst 12,5h</t>
  </si>
  <si>
    <t>Nachtdienst 12,5h</t>
  </si>
  <si>
    <t>geplanter Tagesblock</t>
  </si>
  <si>
    <t>Erklärung geplanter Tagesblock</t>
  </si>
  <si>
    <t>WR</t>
  </si>
  <si>
    <t>Zeitausgleich-Gutstunden</t>
  </si>
  <si>
    <t>ND-Gutstunden</t>
  </si>
  <si>
    <t>DRZ</t>
  </si>
  <si>
    <t>TB-DRZ</t>
  </si>
  <si>
    <t>NDG</t>
  </si>
  <si>
    <t>RG</t>
  </si>
  <si>
    <t>Röntgen-Gutstunden</t>
  </si>
  <si>
    <t>Stunden Konto</t>
  </si>
  <si>
    <t>Stundenkonto</t>
  </si>
  <si>
    <t>Ein Urlaubstag bzw. eine urlaubsäquivalente Abwesenheit bei einer 5-Tage-Woche reduziert somit den Durchrechnungszeitraum um 0,2 Wochen.</t>
  </si>
  <si>
    <t>im aktuellen Rechner für den Durchrechnungszeitraum mit 0h bewertet.</t>
  </si>
  <si>
    <t>Einhaltung der Wochenruhezeit</t>
  </si>
  <si>
    <t>TD6-12,5</t>
  </si>
  <si>
    <t>Tagdienst 6-12,5h</t>
  </si>
  <si>
    <t>Nachtdienst-Gutstunden</t>
  </si>
  <si>
    <t>DRZ Arbeitszeit h</t>
  </si>
  <si>
    <t>Brutto-Grundgehalt</t>
  </si>
  <si>
    <t>Brutto-Gesamtgehalt</t>
  </si>
  <si>
    <t>ja</t>
  </si>
  <si>
    <t>nein</t>
  </si>
  <si>
    <t>Nachtdienst 12,5h : 20.00 - 08.30 Uhr Dienstzeit</t>
  </si>
  <si>
    <t>Röntgen-Gutstd.</t>
  </si>
  <si>
    <t>Nachtdienste 12,5h</t>
  </si>
  <si>
    <t>Dienste So (FA 4h)</t>
  </si>
  <si>
    <t>Dienste Ft (FA 4h)</t>
  </si>
  <si>
    <t>Dienste WT vor Ft (9h)</t>
  </si>
  <si>
    <t>Dienste Sa (FA 8,5h)</t>
  </si>
  <si>
    <t>Dienste WT vor Ft (FA 8,5h)</t>
  </si>
  <si>
    <t>Dienste So vor Feiertag (FA + 8,5h)</t>
  </si>
  <si>
    <t>Dienste Ft vor Ft (FA + 8,5h)</t>
  </si>
  <si>
    <t>Dienste Ft vor So (FA + 8,5h)</t>
  </si>
  <si>
    <t>Abwesenheiten</t>
  </si>
  <si>
    <t>BERECHNUNG DER ARBEITSZEIT DES DURCHRECHNUNGSZEITRAUMES SOWIE DER IST-ARBEITSZEIT DES MONATS</t>
  </si>
  <si>
    <t>GEHALTSRECHNER</t>
  </si>
  <si>
    <t>GUTSTUNDENKONTO</t>
  </si>
  <si>
    <t>ÜBERSTUNDENDOKUMENTATION</t>
  </si>
  <si>
    <t>Zudem kann bei Eingabe einer Überstundenbegründung in das vorgesehene Feld auf jedem Monatsblatt für jedes Monat ein automatisierter Überstundenzettel ausgedruckt werden. Im Arbeitsblatt Üst</t>
  </si>
  <si>
    <t xml:space="preserve">Dieser Rechner kann die offizielle Arbeitszeit- und Gehaltsberechung durch die Dienstgeberin natürlich nicht ersetzen. </t>
  </si>
  <si>
    <t>Überstunden Begründung</t>
  </si>
  <si>
    <t>ND-Gutstd.</t>
  </si>
  <si>
    <t>Unterschrift des Bediensteten:</t>
  </si>
  <si>
    <t>spontaner Nachtdienst</t>
  </si>
  <si>
    <t>spontaner ND</t>
  </si>
  <si>
    <t>Ug</t>
  </si>
  <si>
    <t>PKg</t>
  </si>
  <si>
    <t>SUg</t>
  </si>
  <si>
    <t>ungeplante Tagesblock Ergänzung</t>
  </si>
  <si>
    <t>ungeplante Ergänzung</t>
  </si>
  <si>
    <t>24.00 - 06.00</t>
  </si>
  <si>
    <t>22.00 - 24.00</t>
  </si>
  <si>
    <t>Urlaub bei bestehender Diensteinteilung</t>
  </si>
  <si>
    <t>Zeitausgleich bei bestehender Diensteinteilung</t>
  </si>
  <si>
    <t>Nachtdienst Gutstunden bei bestehender Diensteinteilung</t>
  </si>
  <si>
    <t>Krankenstand bei bestehender Diensteinteilung</t>
  </si>
  <si>
    <t>Pflegekarenz bei bestehender Diensteinteilung</t>
  </si>
  <si>
    <t>Verlängerter Dienst (Nachtdienst) bei bestehender Diensteinteilung</t>
  </si>
  <si>
    <t>Nachdienst 12,5h bei bestehender Diensteinteilung</t>
  </si>
  <si>
    <t>TD6,25</t>
  </si>
  <si>
    <t>Tagdienst 6,25h</t>
  </si>
  <si>
    <t>Auf jedem Monatsblatt wird die durchschnittliche Wochenarbeitszeit, die Ist- bzw. Soll-Arbeitszeit, die durchrechnungszeitraum-relevante Arbeitszeit sowie die Nachtdienstanzahl für das laufende Monat angezeigt.</t>
  </si>
  <si>
    <t>nicht abgebildet! In Rahmen der Dienstplanerstellung muss darauf geachtet werden, dass die Ist-Arbeitszeit zumindest die Soll-Arbeitszeit erreicht, da Minusstunden unzulässig sind.</t>
  </si>
  <si>
    <t>Eingabemöglichkeiten auf den Monatsblättern:</t>
  </si>
  <si>
    <t>Geplanter Tagesblock (Eingabemöglichkeit, die geplante Tagespräsenz zu definieren):</t>
  </si>
  <si>
    <t>Ungeplante Tagesblockergänzung (Eingabemöglichkeit, die Tagespräsenz bei bereits stattgefundener Diensteinteilung zu verändern):</t>
  </si>
  <si>
    <t>Alle Abwesenheitsarten können ungeplant (spontan) genommen werden und sind stundenmäßig wie der voreingeteilte Tagesblock bewertet.</t>
  </si>
  <si>
    <t xml:space="preserve">Die Eingabe von WR in dieser Zeile ist dann zulässig, wenn sie erst im Nachhinein konsumiert werden kann (Beispiel: Einspringen für einen Samstagdienst im Krankheitsfall). </t>
  </si>
  <si>
    <t>geplante Tagespräsenz aber nicht verändert werden.</t>
  </si>
  <si>
    <t>Auch die im Erlass zur "Regelung der gerechten Dienstplangestaltung" angeführte Möglichkeit geplante Dienste auf Basis angeordneter Überstunden einzuteilen, erfolgt in dieser Zeile. Sollte in einem</t>
  </si>
  <si>
    <t>Monat die Sollarbeitszeit um 12,5h oder mehr bei Leistung von Nachtdiensten bzw. um 25h oder mehr bei Leistung von verlängerten Nachtdiensten überschritten werden, kann der eingetragene</t>
  </si>
  <si>
    <t>Dienst in dieser Spalte vermerkt werden, muss dann aber aus der Spalte geplante Tagespräsenz entfernt werden. Dies ist nötig, um eine korrekte Gehaltsberechnung zu ermöglichen.</t>
  </si>
  <si>
    <t>ÜST Tag und ÜST Nacht (Eingabemöglichkeit zur Dokumentation von angeordneten Überstunden):</t>
  </si>
  <si>
    <t>In dieser Spalte können sowohl Tag- wie Nacht-Überstunden dokumentiert werden, die dann automatisch in den Überstundenbogen (Blatt: Üst) übernommen werden.</t>
  </si>
  <si>
    <t>Auf Grund der in manchen Häusern eingeführten 6,25h-Dienste können nun auch Überstunden mit viertelstündlichen Beginn- und Endzeiten eingefügt werden.</t>
  </si>
  <si>
    <t>Einzelne ZA h (Konsumation von einzelnen Zeitausgleichstunden):</t>
  </si>
  <si>
    <t>Sollte man an einem Tag vorzeitig auf Zeitausgleichbasis die Arbeit beenden bzw. den Dienst später antreten, können die Zeitausgleichstunden hier dokumentiert werden.</t>
  </si>
  <si>
    <t>Die errechneten Bruttogehälter sind je nach Auswahl der Abgeltung der angeordneten Überstunden auf den entsprechenden Monatsblättern in den oberen Spalten neben den Arbeitsstunden zu entnehmen.</t>
  </si>
  <si>
    <t>Die in einem Monat erbrachten Mehrstunden werden erst im Folgemonat ausgezahlt! D.h., dass die berechneten Überstunden und Zulagen des Juli wie bisher erst mit dem Gehalt des August ausbezahlt werden.</t>
  </si>
  <si>
    <t xml:space="preserve">kann in einem Drop-Down-Menu das entsprechende Monat und per Klick Auszahlung oder Zeitausgleich ausgewählt werden. Tagesüberstunden werden auf die erste Seite des Arbeitsblattes mit der bereits </t>
  </si>
  <si>
    <t>befüllten Begründung im jeweiligen Monatsblatt übernommen. Die selten anfallenden Nachtüberstunden werden auf der zweiten Seite angeführt. Die Überstundenbegründung kann dann im Arbeitsblatt Üst</t>
  </si>
  <si>
    <t>in der entsprechenden Spalte hinzugefügt werden.</t>
  </si>
  <si>
    <t>Lauffähig ab Office Version 2007.</t>
  </si>
  <si>
    <t>Ein Service der</t>
  </si>
  <si>
    <t>TD6,5</t>
  </si>
  <si>
    <t>TD11,5</t>
  </si>
  <si>
    <t>Tagdienst 6,5h</t>
  </si>
  <si>
    <t>Tagdienst 11,5h</t>
  </si>
  <si>
    <t>TD7,5</t>
  </si>
  <si>
    <t>TD8,5</t>
  </si>
  <si>
    <t>TD9,5</t>
  </si>
  <si>
    <t>TD10,5</t>
  </si>
  <si>
    <t>TD11</t>
  </si>
  <si>
    <t>TD12</t>
  </si>
  <si>
    <t>Tagdienst 7,5h</t>
  </si>
  <si>
    <t>Tagdienst 8,5h</t>
  </si>
  <si>
    <t>Tagdienst 9,5h</t>
  </si>
  <si>
    <t>Tagdienst 10,5h</t>
  </si>
  <si>
    <t>Tagdienst 11h</t>
  </si>
  <si>
    <t>Tagdienst 12h</t>
  </si>
  <si>
    <t>TD5,5</t>
  </si>
  <si>
    <t>Tagdienst 5,5h</t>
  </si>
  <si>
    <t>9902/9909 Nacht-Überstunden</t>
  </si>
  <si>
    <t>Stunden &gt; Sollzeit (Tag/Wochentag/Samstag)</t>
  </si>
  <si>
    <t>08.00 - 09.00</t>
  </si>
  <si>
    <t>Summe 1.HJ</t>
  </si>
  <si>
    <t>Summe 2.HJ</t>
  </si>
  <si>
    <t>ND Pauschale 22.00 - 24.00</t>
  </si>
  <si>
    <t>ND Pauschale 24.00 - 06.00</t>
  </si>
  <si>
    <t>Gebührenurlaub (h)</t>
  </si>
  <si>
    <t>ZA (h)</t>
  </si>
  <si>
    <t>Sollarbeitszeit (h)</t>
  </si>
  <si>
    <t>Tage gesamt (d)</t>
  </si>
  <si>
    <t>Feiertage (d)</t>
  </si>
  <si>
    <t>WoE Tage (d)</t>
  </si>
  <si>
    <t>Werktage (d)</t>
  </si>
  <si>
    <t>DRZ Tage (d)</t>
  </si>
  <si>
    <t>DRZ (Tage-WE)</t>
  </si>
  <si>
    <t>9639 Feiertagsabgeltung 25h ND</t>
  </si>
  <si>
    <t>9639 Feiertagsabgeltung 12,5h ND/TD</t>
  </si>
  <si>
    <t>Durchrechnung</t>
  </si>
  <si>
    <t>Jänner.</t>
  </si>
  <si>
    <t>Durchrechnung/Monat</t>
  </si>
  <si>
    <t>A(d)</t>
  </si>
  <si>
    <t>Abwesenheiten (h)</t>
  </si>
  <si>
    <t>Pflegekarenz</t>
  </si>
  <si>
    <t>Krankenstand</t>
  </si>
  <si>
    <t>Gebührenurlaub</t>
  </si>
  <si>
    <t>Jahr Gesamt (h)</t>
  </si>
  <si>
    <t>Jahr Gesamt (d)</t>
  </si>
  <si>
    <t>Monat Gesamt (h)</t>
  </si>
  <si>
    <t>Monat Gesamt (d)</t>
  </si>
  <si>
    <t>Wochenruhe</t>
  </si>
  <si>
    <t>DRZ 1 Gesamt (h)</t>
  </si>
  <si>
    <t>DRZ 2 Gesamt (h)</t>
  </si>
  <si>
    <t>DRZ 1 Gesamt (d)</t>
  </si>
  <si>
    <t>DRZ 2 Gesamt (d)</t>
  </si>
  <si>
    <t>ÜST TD</t>
  </si>
  <si>
    <t>Tagdienst 5h nach Erreichen der Sollarbeitszeit</t>
  </si>
  <si>
    <t>Tagdienst 5,5h nach Erreichen der Sollarbeitszeit</t>
  </si>
  <si>
    <t>Tagdienst 6h nach Erreichen der Sollarbeitszeit</t>
  </si>
  <si>
    <t>Tagdienst 6,25h nach Erreichen der Sollarbeitszeit</t>
  </si>
  <si>
    <t>Tagdienst 6,5h nach Erreichen der Sollarbeitszeit</t>
  </si>
  <si>
    <t>Tagdienst 7h nach Erreichen der Sollarbeitszeit</t>
  </si>
  <si>
    <t>Tagdienst 7,5h nach Erreichen der Sollarbeitszeit</t>
  </si>
  <si>
    <t>Tagdienst 8h nach Erreichen der Sollarbeitszeit</t>
  </si>
  <si>
    <t>Tagdienst 8,5h nach Erreichen der Sollarbeitszeit</t>
  </si>
  <si>
    <t>Tagdienst 9h nach Erreichen der Sollarbeitszeit</t>
  </si>
  <si>
    <t>Tagdienst 9,5h nach Erreichen der Sollarbeitszeit</t>
  </si>
  <si>
    <t>Tagdienst 10h nach Erreichen der Sollarbeitszeit</t>
  </si>
  <si>
    <t>Tagdienst 10,5h nach Erreichen der Sollarbeitszeit</t>
  </si>
  <si>
    <t>Tagdienst 11h nach Erreichen der Sollarbeitszeit</t>
  </si>
  <si>
    <t>Tagdienst 11,5h nach Erreichen der Sollarbeitszeit</t>
  </si>
  <si>
    <t>Tagdienst 12h nach Erreichen der Sollarbeitszeit</t>
  </si>
  <si>
    <t>Tagdienst 12,5h nach Erreichen der Sollarbeitszeit</t>
  </si>
  <si>
    <t>Z0</t>
  </si>
  <si>
    <t>Ausgleichstag</t>
  </si>
  <si>
    <t>Dienstanzahl</t>
  </si>
  <si>
    <t>Name</t>
  </si>
  <si>
    <t>Vorrückungsstichtag</t>
  </si>
  <si>
    <t>9957 Entschädigung (Nachtgutstunden)</t>
  </si>
  <si>
    <t>Vorrückung</t>
  </si>
  <si>
    <t>mögliche ND bei 25h Dienstform</t>
  </si>
  <si>
    <t>SOLL-Arbeitszeit abzüglich urlaubsäquivalenter Tage</t>
  </si>
  <si>
    <t xml:space="preserve">Anspruch auf Röntgengutstunden     </t>
  </si>
  <si>
    <t>Abgeltung von Überstunden nach Dienst</t>
  </si>
  <si>
    <t>finanziell</t>
  </si>
  <si>
    <t>Freizeit</t>
  </si>
  <si>
    <t xml:space="preserve">Anspruch auf Röntgengutstunden  </t>
  </si>
  <si>
    <t xml:space="preserve">Abgeltung von Überstunden nach Dienst  </t>
  </si>
  <si>
    <t xml:space="preserve">9901/9908 Tag-Überstunden             h&gt;ZA </t>
  </si>
  <si>
    <t>Dienstzulage (Psychiatrie)</t>
  </si>
  <si>
    <t>9430 ZNA-Zulage</t>
  </si>
  <si>
    <t>Überstunden Tag 1h (GG-35)/173*1,5</t>
  </si>
  <si>
    <t>Nachtdienstzulage</t>
  </si>
  <si>
    <t>SF Zulage</t>
  </si>
  <si>
    <t>Psych Zulage</t>
  </si>
  <si>
    <t xml:space="preserve">Wie schon in den Vorausgaben handelt es sich um ein Behelfstool zur Einschätzung der durchschnittlichen Wochenarbeitszeit der Durchrechnungszeiträume. Der Arbeitszeitrechner soll bei der Diensteinteilung </t>
  </si>
  <si>
    <t>helfen, einen Überblick zu bekommen, wie sich die durchschnittliche Wochenarbeitszeit entwickeln wird und gibt Aufschluss darüber, ob die Soll-Arbeitszeit des entsprechenden Monats eingehalten wird.</t>
  </si>
  <si>
    <t xml:space="preserve">Nachdem für die Berechnung des Durchrechnungszeitraums andere Regeln als bei der Ist-Arbeitszeit-Berechnung gelten, werden beide Berechnungen getrennt dargestellt. </t>
  </si>
  <si>
    <t xml:space="preserve">ZZ-Gutstunden, Zeitausgleich von Überstunden, Nachtdienst- und Ersatzruhe-Gutstunden sowie die gesetzlich vorgeschrieben Einhaltung der Wochenruhezeit werden nicht wie Urlaub behandelt und </t>
  </si>
  <si>
    <t>Im Vorfeld ist jedes Monat mit der Maximalarbeitszeit von 48 Stunden pro Woche befüllt. Jede Anwenderin bzw. jeder Anwender sollte fortlaufend ihre/seine tatsächlich geleisteten Arbeitsstunden in die Tabellen</t>
  </si>
  <si>
    <t>eintragen. Mit jedem Monat, in dem die Annahme durch die realen Stunden ersetzt wird, steigt die Genauigkeit der Prognose.</t>
  </si>
  <si>
    <t xml:space="preserve">Bei der Befüllung der Zeilen in den Monatsblättern ist folgendermaßen vorzugehen. Zunächst werden in die Spalte "geplanter Tagesblock" die geplanten Urlaube und Nachtdienste eingetragen. Danach wird </t>
  </si>
  <si>
    <t xml:space="preserve">dieselbe Spalte solange mit den zu leistenden Tagdiensten befüllt, bis die Sollarbeitszeit erreicht oder gerade überschritten ist. Alle weiteren geplanten Tagdienste werden dann in der Nebenspalte "ungeplante </t>
  </si>
  <si>
    <t xml:space="preserve">Ergänzung" vermerkt. In dieser Spalte sind auch etwaige eingesprungene Dienste einzutragen. </t>
  </si>
  <si>
    <t>"Stricherl"-Tag</t>
  </si>
  <si>
    <t>Die entsprechenden Eingabemöglichkeiten in den einzelnen Feldern können per Drop-Down-Menu ausgewählt werden. Bei Selbsteingabe ist auf die Großschreibung zu achten. Copy &amp; Paste ist infolge zulässig.</t>
  </si>
  <si>
    <t xml:space="preserve">beschrieben. </t>
  </si>
  <si>
    <t xml:space="preserve">Bei der Gehaltsberechnung werden nach Überschreitung der monatlichen Soll-Arbeitszeit die Überstunden je nach Leistungszeitraum (Tag bzw. Nacht; Wochentag bzw. Sonn- und Feiertag) unterschiedlich </t>
  </si>
  <si>
    <t>abgerechnet. Dienste am Monatsletzten (z.B. Verlängerter Dienst am 31.7: 16h für Juli, 9h für August) werden folglich auch in das jeweilige Monat gesondert gebucht! Allfällige angeordnete Überstunden können</t>
  </si>
  <si>
    <t>wahlweise zur Auszahlung bzw. zur Gutschrift auf das Gutstundenkonto vermerkt werden. Auf den entsprechenden Monatsblättern kann hierfür die nötige Auswahl am unteren Ende der Spalte Stundenkonto</t>
  </si>
  <si>
    <t>getroffen werden.</t>
  </si>
  <si>
    <t>und ZZ-Tage sowie Zeitausgleich- und Nachdienstgutstunden eingegeben werden. Die aktuelle Summe der verfügbaren Gesamt-Abwesenheitszeit in Stunden kann nun auf den Monatsblättern eingesehen werden.</t>
  </si>
  <si>
    <t>Wenn der Wunsch besteht geleistete Überstunden nicht ausbezahlen zu lassen (Vorgehen hierfür s. Gehaltsrechner), werden sie zum Stundenkonto hinzuaddiert. Die anfallenden Nachtdienstgutstunden werden</t>
  </si>
  <si>
    <t>ebenso automatisch auf dem Gutstundenkonto gutgeschrieben. Wenn Nachtgutstunden nach 6 Monaten noch nicht aufgebraucht wurden, gelangen diese zur Auszahlung. In den Rechner eingegebene</t>
  </si>
  <si>
    <t xml:space="preserve">Abwesenheiten (U, AZV, etc.) reduzieren folglich das Stundenkontingent. Sollte ein Anspruch auf Röntgengutstunden bestehen, werden bei einem Klick auf das entsprechende Feld in den Monatsblättern pro </t>
  </si>
  <si>
    <t>Woche 2 Ausgleichstunden gutgeschrieben.</t>
  </si>
  <si>
    <t>GH Stufe</t>
  </si>
  <si>
    <t>Stunden/Woche (h)</t>
  </si>
  <si>
    <t>Tage/Woche (d)</t>
  </si>
  <si>
    <t>Arbeitstag (h)</t>
  </si>
  <si>
    <t>Jahresgebührenurlaub</t>
  </si>
  <si>
    <t>Mindesturlaub</t>
  </si>
  <si>
    <t>FA-NEU</t>
  </si>
  <si>
    <t>FA-NEU Funktion</t>
  </si>
  <si>
    <t>AM ALT</t>
  </si>
  <si>
    <t>AM-NEU</t>
  </si>
  <si>
    <t>FA-ALT</t>
  </si>
  <si>
    <t>Besoldungsordnung 1994</t>
  </si>
  <si>
    <t>AB-ALT</t>
  </si>
  <si>
    <t>AB-NEU</t>
  </si>
  <si>
    <t>Wiener Bedienstetengesetz 2018</t>
  </si>
  <si>
    <t>Fachärztin/Facharzt-mit Funktion_WBG2018</t>
  </si>
  <si>
    <t>Fachärztin/Facharzt_BSO1994</t>
  </si>
  <si>
    <t>Fachärztin/Facharzt_WBG2018</t>
  </si>
  <si>
    <t>Ärztin/Arzt in Ausbildung_BSO1994</t>
  </si>
  <si>
    <t>Ärztin/Arzt in Ausbildung_WBG2018</t>
  </si>
  <si>
    <t>K32</t>
  </si>
  <si>
    <t>K33</t>
  </si>
  <si>
    <t>K34</t>
  </si>
  <si>
    <t>K35</t>
  </si>
  <si>
    <t>K36</t>
  </si>
  <si>
    <t>K37</t>
  </si>
  <si>
    <t>K38</t>
  </si>
  <si>
    <t>K39</t>
  </si>
  <si>
    <t>K40</t>
  </si>
  <si>
    <t>Allgemeinmedizinerin/Allgemeinmediziner_WBG2018</t>
  </si>
  <si>
    <t>Reihe</t>
  </si>
  <si>
    <t>ZNA Zulage</t>
  </si>
  <si>
    <t>Name:</t>
  </si>
  <si>
    <t>Überstunden Nacht (22-6Uhr) spontaner ND</t>
  </si>
  <si>
    <t>FT</t>
  </si>
  <si>
    <t>Freier Tag Teilzeit</t>
  </si>
  <si>
    <t>FT Teilzeit</t>
  </si>
  <si>
    <t>Jahresgebührenurlaub (h)</t>
  </si>
  <si>
    <t>Allgemeinmedizinerin/Allgemeinmediziner_BSO1994</t>
  </si>
  <si>
    <t>Urlaubsabgeltung</t>
  </si>
  <si>
    <t>angetretene ND Anzahl/Monat</t>
  </si>
  <si>
    <t>angetretene ND Anzahl in DRZ</t>
  </si>
  <si>
    <t>geplante Nachtdienste</t>
  </si>
  <si>
    <t>Tag ÜST</t>
  </si>
  <si>
    <t>Nacht ÜST</t>
  </si>
  <si>
    <t>Diverses</t>
  </si>
  <si>
    <t>SF</t>
  </si>
  <si>
    <t>SpA</t>
  </si>
  <si>
    <t>Tagespräsenz</t>
  </si>
  <si>
    <t>Mit Vollendung des 33. LJ</t>
  </si>
  <si>
    <t>Mit Vollendung des 43. LJ</t>
  </si>
  <si>
    <t>Mit Vollendung des 57. LJ</t>
  </si>
  <si>
    <t>Mit Vollendung des 60. LJ</t>
  </si>
  <si>
    <t>Tagespräsenz h IST</t>
  </si>
  <si>
    <t>Tagespräsenz h DRZ</t>
  </si>
  <si>
    <t>SpA Beschreibung</t>
  </si>
  <si>
    <t>SpA Stunden</t>
  </si>
  <si>
    <t>spontaner ND h</t>
  </si>
  <si>
    <t>Tagespräsenz Beschreibung</t>
  </si>
  <si>
    <t>Wochen/AW-Stunden</t>
  </si>
  <si>
    <t>Wochentage</t>
  </si>
  <si>
    <t>Beschäftigungsumfang</t>
  </si>
  <si>
    <t>Summe 1.DRZ</t>
  </si>
  <si>
    <t>Summe 2.DRZ</t>
  </si>
  <si>
    <t>Grundgehalt &amp; Sonderzahlung</t>
  </si>
  <si>
    <t>Krankenstand (d)</t>
  </si>
  <si>
    <t>Sonderurlaub (d)</t>
  </si>
  <si>
    <t>Pflegekarenz (d)</t>
  </si>
  <si>
    <t>© Michael Graf IT-Dienstleistungen</t>
  </si>
  <si>
    <t>Überstunden Tag (6-22Uhr) Anzahl</t>
  </si>
  <si>
    <t>Überstunden Tag (6-22Uhr) spontaner ND</t>
  </si>
  <si>
    <t xml:space="preserve">ÜST Tag (6-22Uhr) </t>
  </si>
  <si>
    <t>ÜST Nacht (22-6Uhr)</t>
  </si>
  <si>
    <t>Halbfeiertage</t>
  </si>
  <si>
    <t>Karfreitag</t>
  </si>
  <si>
    <t>So/Ft</t>
  </si>
  <si>
    <t>So/Ft&gt;Soll</t>
  </si>
  <si>
    <t>Überstunden Nacht/SO/Ft 1h (GG-35)/173*2</t>
  </si>
  <si>
    <t>Tagdienste SO/Ft</t>
  </si>
  <si>
    <t>Heiliger Abend</t>
  </si>
  <si>
    <t>Sylvester</t>
  </si>
  <si>
    <t>FA-NEU W5/2</t>
  </si>
  <si>
    <t>AM-NEU W5/1</t>
  </si>
  <si>
    <t>§ 101a Abs. 1 W-BedG</t>
  </si>
  <si>
    <t>§ 101a Abs. 2 W-BedG</t>
  </si>
  <si>
    <t>§ 78a Abs. 1 W-BedG</t>
  </si>
  <si>
    <t>Kz. 954701</t>
  </si>
  <si>
    <t>Kz. 943001</t>
  </si>
  <si>
    <t>Kz. 954501</t>
  </si>
  <si>
    <t>Gutschrift (h)</t>
  </si>
  <si>
    <t>TD10</t>
  </si>
  <si>
    <t>Tagdienst 10h</t>
  </si>
  <si>
    <t>KA</t>
  </si>
  <si>
    <t>Kuraufenthalt</t>
  </si>
  <si>
    <t>K41</t>
  </si>
  <si>
    <t>K(A)g</t>
  </si>
  <si>
    <t>FA-NEU Fu W4/7</t>
  </si>
  <si>
    <t xml:space="preserve">kommen für sie daher die Vertragsbedienstetenordnung sowie die Dienstordnung der Stadt Wien. Für alle seit 1. Jänner 2018 neu eintretenden Ärztinnen und Ärzte gelten hingegen ausnahmslos die Bestimmungen des </t>
  </si>
  <si>
    <t xml:space="preserve">Wiener Bedienstetengesetzes. Folglich ist die entsprechende Funktion im Drop-Down-Feld zur Gehaltsberechnung auszuwählen. </t>
  </si>
  <si>
    <t xml:space="preserve">freie Tage haben und somit die Anstellung z.B. basierend auf einer 4-Tage-Woche erfolgen kann, besteht diesbezüglich ein weiteres neues Auswahlfeld auf der Startseite. Der freie Wochentag muss dann in den </t>
  </si>
  <si>
    <t>Monatsblättern durch Eintrag der Abkürzung FT (freier Tag) aus dem Drop-Down-Feld des entsprechenden Tages gekennzeichnet werden, damit eine korrekte Berechnung erfolgt.</t>
  </si>
  <si>
    <t>https://www.aekwien.at/wiener-gesundheitsverbund</t>
  </si>
  <si>
    <t>Wochenruhezeit</t>
  </si>
  <si>
    <t>Für allfällige Fehler in Programmierung, Berechnung, Bedienung oder Eingabe wird von unserer Seite keinerlei Haftung übernommen.</t>
  </si>
  <si>
    <t>Bei der Auswahl der Funktion auf der Startseite ist auf Folgendes zu achten: Angestellte Ärztinnen und Ärzte des KAV, die vor dem 1. Jänner 2018 eingetreten sind, unterliegen dem Dienstrecht der Stadt Wien. Zur Anwendung</t>
  </si>
  <si>
    <t>Weitere Infos darüber finden sie auf der Homepage der Wiener Ärztekammer:</t>
  </si>
  <si>
    <t>Der Vorrückungsstichtag sowie die Gehaltsstufe sind weiterhin aus einem rezenten Gehaltszettel zu entnehmen und entsprechend einzutragen.</t>
  </si>
  <si>
    <t xml:space="preserve">Bei der Ist-Arbeitszeit ist anzumerken, dass es sich hierbei um die Arbeitsstunden zum Zeitpunkt der Dienstplanerstellung handelt. Etwaige zusätzliche Dienste (z.B. Einspringen im Krankenstands Fall) werden hier </t>
  </si>
  <si>
    <t>Die im Krankenstands Fall zu leistenden Mehrdienste können hier ebenso vermerkt werden. Um eine korrekte Gehaltsberechnung zu ermöglichen, dürfen die eingetragenen Dienste in der Spalte</t>
  </si>
  <si>
    <t xml:space="preserve">Auf der Startseite muss zunächst die Verwendungsgruppe je nach Anspruch auf den Erhalt einer Wahrungszulage ausgewählt werden. Im nächsten Schritt soll die Gehaltstufe und der Vorrückstichtag zum </t>
  </si>
  <si>
    <t xml:space="preserve">angebenen Datum eingegeben werden. Diese Informationen sind aus dem jeweiligen Gehaltszettel des entsprechenden Monats zu entnehmen. Die Details für die korrekte Eingabe wurden bereits in der Einleitung </t>
  </si>
  <si>
    <t>ARBEITSZEIT- &amp; GEHALTSRECHNER 2024</t>
  </si>
  <si>
    <t>Anbei finden Sie die 10. Ausgabe des Arbeitszeitrechners für das Jahr 2024. Im Vergleich zum Vorjahr ergeben sich im Bereich der Anwendungen keine Veränderungen.</t>
  </si>
  <si>
    <t>Fachärztin/Facharzt-ZNA_WBG2018</t>
  </si>
  <si>
    <t>Ärztin/Arzt in Ausbildung-ZNA_WBG2018</t>
  </si>
  <si>
    <t>Allgemeinmedizinerin/Allgemeinmediziner-ZNA_WBG2018</t>
  </si>
  <si>
    <t>ZNA Zulage (h)</t>
  </si>
  <si>
    <t>ZNA Zulage allgemein</t>
  </si>
  <si>
    <t>Auf den Monatsblättern besteht nun die Möglichkeit bei Anspruch auf Auszahlung der ZNA- bzw. Psychiatriezulage, diese im entsprechenden Feld auszuwählen.</t>
  </si>
  <si>
    <t>Wie schon in den Vorjahren wird eine Berechnung für Teilzeitkräfte angeboten. Die zu leistenden Wochenstunden können im entsprechenden Drop-Down-Menu ausgewählt werden. Da manche Teilzeitkräfte fixe</t>
  </si>
  <si>
    <t>Das Modul, das einen Überblick über die zur Verfügung stehenden Gutstunden verschafft, wurde adaptiert. Im Startfeld sollen die zum Jahresbeginn (Stand 01.01.2024) noch nicht aufgebrauchten Urlaubs-, AZV-</t>
  </si>
  <si>
    <t>Version 41.72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</si>
</sst>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"/>
    <numFmt numFmtId="165" formatCode="mmmm"/>
    <numFmt numFmtId="166" formatCode="ddd"/>
    <numFmt numFmtId="167" formatCode="h:mm"/>
    <numFmt numFmtId="168" formatCode="h:mm;@"/>
    <numFmt numFmtId="169" formatCode="###0;###0"/>
    <numFmt numFmtId="170" formatCode="&quot;€&quot;\ #,##0.00"/>
    <numFmt numFmtId="171" formatCode="mmmm/"/>
    <numFmt numFmtId="172" formatCode="0;0"/>
    <numFmt numFmtId="173" formatCode="dd/mm/yyyy;@"/>
  </numFmts>
  <fonts count="70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</font>
    <font>
      <b/>
      <sz val="12"/>
      <name val="Calibri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000000"/>
      <name val="Times New Roman"/>
      <family val="1"/>
    </font>
    <font>
      <b/>
      <sz val="12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theme="0"/>
      <name val="Calibri"/>
      <family val="2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name val="Calibri"/>
      <family val="2"/>
      <scheme val="minor"/>
    </font>
    <font>
      <sz val="4"/>
      <name val="Calibri"/>
      <family val="2"/>
      <scheme val="minor"/>
    </font>
    <font>
      <b/>
      <sz val="9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92D05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9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4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6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sz val="12"/>
      <name val="Calibri"/>
      <family val="2"/>
      <scheme val="minor"/>
    </font>
    <font>
      <sz val="10"/>
      <color rgb="FF00B050"/>
      <name val="Calibri"/>
      <family val="2"/>
      <scheme val="minor"/>
    </font>
    <font>
      <i/>
      <sz val="8"/>
      <color theme="9" tint="-0.249977111117893"/>
      <name val="Calibri"/>
      <family val="2"/>
      <scheme val="minor"/>
    </font>
    <font>
      <i/>
      <sz val="10"/>
      <color theme="9" tint="-0.249977111117893"/>
      <name val="Calibri"/>
      <family val="2"/>
      <scheme val="minor"/>
    </font>
    <font>
      <i/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9" tint="0.79998168889431442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5"/>
      <name val="Calibri"/>
      <family val="2"/>
      <scheme val="minor"/>
    </font>
    <font>
      <b/>
      <sz val="5"/>
      <name val="Calibri"/>
      <family val="2"/>
      <scheme val="minor"/>
    </font>
    <font>
      <i/>
      <sz val="12"/>
      <name val="Calibri"/>
      <family val="2"/>
      <scheme val="minor"/>
    </font>
    <font>
      <sz val="6"/>
      <color theme="9" tint="-0.249977111117893"/>
      <name val="Calibri"/>
      <family val="2"/>
      <scheme val="minor"/>
    </font>
    <font>
      <sz val="8"/>
      <color theme="1" tint="0.499984740745262"/>
      <name val="Calibri"/>
      <family val="2"/>
      <scheme val="minor"/>
    </font>
    <font>
      <b/>
      <sz val="8"/>
      <color theme="1" tint="0.499984740745262"/>
      <name val="Calibri"/>
      <family val="2"/>
      <scheme val="minor"/>
    </font>
    <font>
      <sz val="8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sz val="9"/>
      <color indexed="81"/>
      <name val="Segoe UI"/>
      <family val="2"/>
    </font>
    <font>
      <b/>
      <sz val="10"/>
      <color rgb="FF002060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2"/>
      <color theme="4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theme="7" tint="0.79998168889431442"/>
        <bgColor indexed="64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rgb="FFFF0000"/>
      </bottom>
      <diagonal/>
    </border>
    <border>
      <left/>
      <right style="thin">
        <color indexed="64"/>
      </right>
      <top style="hair">
        <color indexed="64"/>
      </top>
      <bottom style="hair">
        <color rgb="FFFF0000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rgb="FFFF0000"/>
      </bottom>
      <diagonal/>
    </border>
    <border>
      <left style="thin">
        <color indexed="64"/>
      </left>
      <right/>
      <top style="thin">
        <color indexed="64"/>
      </top>
      <bottom style="hair">
        <color rgb="FFFF0000"/>
      </bottom>
      <diagonal/>
    </border>
    <border>
      <left/>
      <right/>
      <top style="hair">
        <color indexed="64"/>
      </top>
      <bottom style="hair">
        <color rgb="FFFF0000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rgb="FFFF0000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rgb="FFFF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thin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67" fillId="0" borderId="0" applyNumberFormat="0" applyFill="0" applyBorder="0" applyAlignment="0" applyProtection="0"/>
  </cellStyleXfs>
  <cellXfs count="654">
    <xf numFmtId="0" fontId="0" fillId="0" borderId="0" xfId="0"/>
    <xf numFmtId="0" fontId="0" fillId="0" borderId="0" xfId="0" applyAlignment="1">
      <alignment horizontal="left" vertical="top"/>
    </xf>
    <xf numFmtId="0" fontId="0" fillId="0" borderId="40" xfId="0" applyBorder="1" applyAlignment="1">
      <alignment horizontal="left" vertical="top"/>
    </xf>
    <xf numFmtId="0" fontId="6" fillId="0" borderId="43" xfId="0" applyFont="1" applyBorder="1" applyAlignment="1">
      <alignment vertical="top" wrapText="1"/>
    </xf>
    <xf numFmtId="0" fontId="0" fillId="0" borderId="44" xfId="0" applyBorder="1" applyAlignment="1">
      <alignment horizontal="left" vertical="top" wrapText="1"/>
    </xf>
    <xf numFmtId="0" fontId="0" fillId="0" borderId="39" xfId="0" applyBorder="1" applyAlignment="1">
      <alignment horizontal="left" vertical="top" wrapText="1"/>
    </xf>
    <xf numFmtId="0" fontId="0" fillId="0" borderId="4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46" xfId="0" applyBorder="1" applyAlignment="1">
      <alignment horizontal="left" vertical="top" wrapText="1"/>
    </xf>
    <xf numFmtId="0" fontId="0" fillId="0" borderId="47" xfId="0" applyBorder="1" applyAlignment="1">
      <alignment horizontal="left" vertical="top"/>
    </xf>
    <xf numFmtId="0" fontId="0" fillId="0" borderId="45" xfId="0" applyBorder="1" applyAlignment="1">
      <alignment horizontal="left" vertical="top" wrapText="1"/>
    </xf>
    <xf numFmtId="0" fontId="6" fillId="0" borderId="45" xfId="0" applyFont="1" applyBorder="1" applyAlignment="1">
      <alignment horizontal="center" vertical="center" wrapText="1"/>
    </xf>
    <xf numFmtId="0" fontId="0" fillId="0" borderId="48" xfId="0" applyBorder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169" fontId="7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8" fillId="0" borderId="0" xfId="0" applyFont="1" applyAlignment="1">
      <alignment horizontal="left" vertical="center"/>
    </xf>
    <xf numFmtId="0" fontId="4" fillId="0" borderId="33" xfId="0" applyFont="1" applyBorder="1" applyAlignment="1">
      <alignment horizontal="left" vertical="center" wrapText="1"/>
    </xf>
    <xf numFmtId="0" fontId="0" fillId="0" borderId="33" xfId="0" applyBorder="1" applyAlignment="1">
      <alignment horizontal="left" vertical="top" wrapText="1"/>
    </xf>
    <xf numFmtId="0" fontId="6" fillId="0" borderId="33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7" fillId="0" borderId="39" xfId="0" applyFont="1" applyBorder="1" applyAlignment="1">
      <alignment horizontal="left" vertical="center" wrapText="1"/>
    </xf>
    <xf numFmtId="0" fontId="8" fillId="0" borderId="34" xfId="0" applyFont="1" applyBorder="1" applyAlignment="1">
      <alignment horizontal="left" vertical="center" wrapText="1"/>
    </xf>
    <xf numFmtId="0" fontId="8" fillId="0" borderId="38" xfId="0" applyFont="1" applyBorder="1" applyAlignment="1">
      <alignment horizontal="left" vertical="center" wrapText="1"/>
    </xf>
    <xf numFmtId="0" fontId="7" fillId="0" borderId="40" xfId="0" applyFont="1" applyBorder="1" applyAlignment="1">
      <alignment horizontal="left" vertical="center" wrapText="1"/>
    </xf>
    <xf numFmtId="0" fontId="0" fillId="0" borderId="29" xfId="0" applyBorder="1" applyAlignment="1">
      <alignment horizontal="left" vertical="top"/>
    </xf>
    <xf numFmtId="0" fontId="0" fillId="0" borderId="50" xfId="0" applyBorder="1" applyAlignment="1">
      <alignment horizontal="left" vertical="top"/>
    </xf>
    <xf numFmtId="0" fontId="0" fillId="0" borderId="51" xfId="0" applyBorder="1" applyAlignment="1">
      <alignment horizontal="left" vertical="top" wrapText="1"/>
    </xf>
    <xf numFmtId="0" fontId="6" fillId="0" borderId="51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14" fontId="0" fillId="0" borderId="0" xfId="0" applyNumberFormat="1" applyAlignment="1">
      <alignment horizontal="left" vertical="top"/>
    </xf>
    <xf numFmtId="164" fontId="9" fillId="0" borderId="0" xfId="0" applyNumberFormat="1" applyFont="1" applyAlignment="1">
      <alignment horizontal="center" vertical="center" wrapText="1"/>
    </xf>
    <xf numFmtId="0" fontId="8" fillId="0" borderId="35" xfId="0" applyFont="1" applyBorder="1" applyAlignment="1">
      <alignment horizontal="left" vertical="center"/>
    </xf>
    <xf numFmtId="0" fontId="8" fillId="0" borderId="39" xfId="0" applyFont="1" applyBorder="1" applyAlignment="1">
      <alignment horizontal="left" vertical="center" wrapText="1"/>
    </xf>
    <xf numFmtId="164" fontId="8" fillId="0" borderId="45" xfId="0" applyNumberFormat="1" applyFont="1" applyBorder="1" applyAlignment="1">
      <alignment horizontal="center" vertical="center" wrapText="1"/>
    </xf>
    <xf numFmtId="164" fontId="8" fillId="0" borderId="53" xfId="0" applyNumberFormat="1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20" fontId="7" fillId="0" borderId="48" xfId="0" applyNumberFormat="1" applyFont="1" applyBorder="1" applyAlignment="1">
      <alignment horizontal="center" vertical="center" wrapText="1"/>
    </xf>
    <xf numFmtId="20" fontId="7" fillId="0" borderId="45" xfId="0" applyNumberFormat="1" applyFont="1" applyBorder="1" applyAlignment="1">
      <alignment horizontal="center" vertical="center" wrapText="1"/>
    </xf>
    <xf numFmtId="164" fontId="7" fillId="0" borderId="45" xfId="0" applyNumberFormat="1" applyFont="1" applyBorder="1" applyAlignment="1">
      <alignment horizontal="center" vertical="center" wrapText="1"/>
    </xf>
    <xf numFmtId="0" fontId="0" fillId="0" borderId="0" xfId="0" applyAlignment="1" applyProtection="1">
      <alignment horizontal="left" vertical="top"/>
      <protection locked="0"/>
    </xf>
    <xf numFmtId="165" fontId="8" fillId="0" borderId="38" xfId="0" applyNumberFormat="1" applyFont="1" applyBorder="1" applyAlignment="1" applyProtection="1">
      <alignment horizontal="left" vertical="center" wrapText="1"/>
      <protection locked="0"/>
    </xf>
    <xf numFmtId="14" fontId="7" fillId="0" borderId="51" xfId="0" applyNumberFormat="1" applyFont="1" applyBorder="1" applyAlignment="1">
      <alignment horizontal="center" vertical="center" wrapText="1"/>
    </xf>
    <xf numFmtId="14" fontId="7" fillId="0" borderId="0" xfId="0" applyNumberFormat="1" applyFont="1" applyAlignment="1" applyProtection="1">
      <alignment horizontal="left" vertical="center"/>
      <protection locked="0"/>
    </xf>
    <xf numFmtId="0" fontId="1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/>
    </xf>
    <xf numFmtId="0" fontId="14" fillId="0" borderId="0" xfId="0" applyFont="1"/>
    <xf numFmtId="0" fontId="14" fillId="2" borderId="23" xfId="0" applyFont="1" applyFill="1" applyBorder="1" applyAlignment="1">
      <alignment horizontal="center" vertical="center"/>
    </xf>
    <xf numFmtId="0" fontId="14" fillId="4" borderId="23" xfId="0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7" fillId="0" borderId="0" xfId="0" applyFont="1"/>
    <xf numFmtId="0" fontId="19" fillId="0" borderId="0" xfId="0" applyFont="1"/>
    <xf numFmtId="0" fontId="20" fillId="3" borderId="0" xfId="0" applyFont="1" applyFill="1" applyAlignment="1">
      <alignment horizontal="center" vertical="center"/>
    </xf>
    <xf numFmtId="0" fontId="17" fillId="0" borderId="0" xfId="0" applyFont="1" applyAlignment="1">
      <alignment vertical="center"/>
    </xf>
    <xf numFmtId="0" fontId="23" fillId="0" borderId="0" xfId="0" applyFont="1"/>
    <xf numFmtId="0" fontId="22" fillId="0" borderId="0" xfId="0" applyFont="1" applyAlignment="1">
      <alignment vertical="top"/>
    </xf>
    <xf numFmtId="0" fontId="22" fillId="0" borderId="29" xfId="0" applyFont="1" applyBorder="1" applyAlignment="1">
      <alignment vertical="center"/>
    </xf>
    <xf numFmtId="0" fontId="24" fillId="0" borderId="0" xfId="0" applyFont="1" applyAlignment="1">
      <alignment horizontal="center" vertical="center"/>
    </xf>
    <xf numFmtId="0" fontId="22" fillId="0" borderId="28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18" fillId="0" borderId="0" xfId="0" applyFont="1" applyAlignment="1">
      <alignment horizontal="center"/>
    </xf>
    <xf numFmtId="0" fontId="21" fillId="0" borderId="19" xfId="0" applyFont="1" applyBorder="1" applyAlignment="1" applyProtection="1">
      <alignment horizontal="center" vertical="center"/>
      <protection locked="0"/>
    </xf>
    <xf numFmtId="167" fontId="21" fillId="0" borderId="25" xfId="0" applyNumberFormat="1" applyFont="1" applyBorder="1" applyAlignment="1" applyProtection="1">
      <alignment horizontal="center" vertical="center"/>
      <protection locked="0"/>
    </xf>
    <xf numFmtId="167" fontId="21" fillId="0" borderId="20" xfId="0" applyNumberFormat="1" applyFont="1" applyBorder="1" applyAlignment="1" applyProtection="1">
      <alignment horizontal="center" vertical="center"/>
      <protection locked="0"/>
    </xf>
    <xf numFmtId="167" fontId="21" fillId="0" borderId="7" xfId="0" applyNumberFormat="1" applyFont="1" applyBorder="1" applyAlignment="1" applyProtection="1">
      <alignment horizontal="center"/>
      <protection locked="0"/>
    </xf>
    <xf numFmtId="167" fontId="21" fillId="0" borderId="8" xfId="0" applyNumberFormat="1" applyFont="1" applyBorder="1" applyAlignment="1" applyProtection="1">
      <alignment horizontal="center"/>
      <protection locked="0"/>
    </xf>
    <xf numFmtId="167" fontId="21" fillId="0" borderId="13" xfId="0" applyNumberFormat="1" applyFont="1" applyBorder="1" applyAlignment="1" applyProtection="1">
      <alignment horizontal="center"/>
      <protection locked="0"/>
    </xf>
    <xf numFmtId="167" fontId="21" fillId="0" borderId="31" xfId="0" applyNumberFormat="1" applyFont="1" applyBorder="1" applyAlignment="1" applyProtection="1">
      <alignment horizontal="center"/>
      <protection locked="0"/>
    </xf>
    <xf numFmtId="167" fontId="21" fillId="0" borderId="67" xfId="0" applyNumberFormat="1" applyFont="1" applyBorder="1" applyAlignment="1" applyProtection="1">
      <alignment horizontal="center"/>
      <protection locked="0"/>
    </xf>
    <xf numFmtId="167" fontId="21" fillId="0" borderId="16" xfId="0" applyNumberFormat="1" applyFont="1" applyBorder="1" applyAlignment="1" applyProtection="1">
      <alignment horizontal="center"/>
      <protection locked="0"/>
    </xf>
    <xf numFmtId="167" fontId="21" fillId="0" borderId="68" xfId="0" applyNumberFormat="1" applyFont="1" applyBorder="1" applyAlignment="1" applyProtection="1">
      <alignment horizontal="center"/>
      <protection locked="0"/>
    </xf>
    <xf numFmtId="167" fontId="21" fillId="0" borderId="65" xfId="0" applyNumberFormat="1" applyFont="1" applyBorder="1" applyAlignment="1" applyProtection="1">
      <alignment horizontal="center"/>
      <protection locked="0"/>
    </xf>
    <xf numFmtId="167" fontId="21" fillId="0" borderId="26" xfId="0" applyNumberFormat="1" applyFont="1" applyBorder="1" applyAlignment="1" applyProtection="1">
      <alignment horizontal="center"/>
      <protection locked="0"/>
    </xf>
    <xf numFmtId="167" fontId="21" fillId="0" borderId="17" xfId="0" applyNumberFormat="1" applyFont="1" applyBorder="1" applyAlignment="1" applyProtection="1">
      <alignment horizontal="center"/>
      <protection locked="0"/>
    </xf>
    <xf numFmtId="167" fontId="21" fillId="0" borderId="0" xfId="0" applyNumberFormat="1" applyFont="1" applyAlignment="1" applyProtection="1">
      <alignment horizontal="center"/>
      <protection locked="0"/>
    </xf>
    <xf numFmtId="0" fontId="22" fillId="0" borderId="0" xfId="0" applyFont="1"/>
    <xf numFmtId="164" fontId="25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166" fontId="18" fillId="0" borderId="18" xfId="0" applyNumberFormat="1" applyFont="1" applyBorder="1" applyAlignment="1">
      <alignment horizontal="center" vertical="center"/>
    </xf>
    <xf numFmtId="14" fontId="18" fillId="0" borderId="30" xfId="0" applyNumberFormat="1" applyFont="1" applyBorder="1" applyAlignment="1">
      <alignment horizontal="center" vertical="center"/>
    </xf>
    <xf numFmtId="14" fontId="18" fillId="0" borderId="20" xfId="0" applyNumberFormat="1" applyFont="1" applyBorder="1" applyAlignment="1">
      <alignment horizontal="center" vertical="center"/>
    </xf>
    <xf numFmtId="14" fontId="18" fillId="0" borderId="27" xfId="0" applyNumberFormat="1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29" fillId="0" borderId="0" xfId="0" applyFont="1" applyAlignment="1">
      <alignment horizontal="center"/>
    </xf>
    <xf numFmtId="0" fontId="27" fillId="0" borderId="0" xfId="0" applyFont="1"/>
    <xf numFmtId="0" fontId="30" fillId="3" borderId="0" xfId="0" applyFont="1" applyFill="1" applyAlignment="1">
      <alignment horizontal="center" vertical="center"/>
    </xf>
    <xf numFmtId="167" fontId="21" fillId="0" borderId="72" xfId="0" applyNumberFormat="1" applyFont="1" applyBorder="1" applyAlignment="1" applyProtection="1">
      <alignment horizontal="center"/>
      <protection locked="0"/>
    </xf>
    <xf numFmtId="0" fontId="28" fillId="0" borderId="0" xfId="0" applyFont="1" applyAlignment="1">
      <alignment horizontal="center" vertical="center"/>
    </xf>
    <xf numFmtId="0" fontId="17" fillId="0" borderId="5" xfId="0" applyFont="1" applyBorder="1"/>
    <xf numFmtId="0" fontId="31" fillId="2" borderId="14" xfId="0" applyFont="1" applyFill="1" applyBorder="1" applyAlignment="1">
      <alignment horizontal="center" vertical="center"/>
    </xf>
    <xf numFmtId="0" fontId="31" fillId="2" borderId="15" xfId="0" applyFont="1" applyFill="1" applyBorder="1" applyAlignment="1">
      <alignment horizontal="center" vertical="center"/>
    </xf>
    <xf numFmtId="164" fontId="25" fillId="0" borderId="27" xfId="0" applyNumberFormat="1" applyFont="1" applyBorder="1" applyAlignment="1" applyProtection="1">
      <alignment horizontal="center" vertical="center"/>
      <protection locked="0"/>
    </xf>
    <xf numFmtId="0" fontId="37" fillId="0" borderId="0" xfId="0" applyFont="1" applyAlignment="1">
      <alignment vertical="center"/>
    </xf>
    <xf numFmtId="170" fontId="14" fillId="0" borderId="0" xfId="0" applyNumberFormat="1" applyFont="1" applyAlignment="1">
      <alignment horizontal="left"/>
    </xf>
    <xf numFmtId="167" fontId="21" fillId="0" borderId="6" xfId="0" applyNumberFormat="1" applyFont="1" applyBorder="1" applyAlignment="1" applyProtection="1">
      <alignment horizontal="center"/>
      <protection locked="0"/>
    </xf>
    <xf numFmtId="0" fontId="39" fillId="0" borderId="66" xfId="0" applyFont="1" applyBorder="1" applyAlignment="1">
      <alignment horizontal="left" vertical="center"/>
    </xf>
    <xf numFmtId="0" fontId="39" fillId="0" borderId="79" xfId="0" applyFont="1" applyBorder="1" applyAlignment="1">
      <alignment horizontal="left" vertical="center"/>
    </xf>
    <xf numFmtId="0" fontId="40" fillId="0" borderId="73" xfId="0" applyFont="1" applyBorder="1" applyAlignment="1" applyProtection="1">
      <alignment vertical="center" wrapText="1"/>
      <protection locked="0"/>
    </xf>
    <xf numFmtId="0" fontId="40" fillId="0" borderId="74" xfId="0" applyFont="1" applyBorder="1" applyAlignment="1" applyProtection="1">
      <alignment vertical="center" wrapText="1"/>
      <protection locked="0"/>
    </xf>
    <xf numFmtId="0" fontId="40" fillId="0" borderId="74" xfId="0" applyFont="1" applyBorder="1" applyAlignment="1" applyProtection="1">
      <alignment horizontal="left" vertical="center" wrapText="1"/>
      <protection locked="0"/>
    </xf>
    <xf numFmtId="0" fontId="21" fillId="2" borderId="61" xfId="0" applyFont="1" applyFill="1" applyBorder="1" applyAlignment="1">
      <alignment horizontal="center" vertical="center"/>
    </xf>
    <xf numFmtId="0" fontId="39" fillId="0" borderId="18" xfId="0" applyFont="1" applyBorder="1" applyAlignment="1">
      <alignment horizontal="center" vertical="center"/>
    </xf>
    <xf numFmtId="164" fontId="39" fillId="0" borderId="25" xfId="0" applyNumberFormat="1" applyFont="1" applyBorder="1" applyAlignment="1">
      <alignment horizontal="center" vertical="center"/>
    </xf>
    <xf numFmtId="0" fontId="40" fillId="0" borderId="25" xfId="0" applyFont="1" applyBorder="1" applyAlignment="1">
      <alignment horizontal="center" vertical="center" wrapText="1"/>
    </xf>
    <xf numFmtId="0" fontId="39" fillId="0" borderId="77" xfId="0" applyFont="1" applyBorder="1" applyAlignment="1">
      <alignment horizontal="center" vertical="center"/>
    </xf>
    <xf numFmtId="164" fontId="39" fillId="0" borderId="77" xfId="0" applyNumberFormat="1" applyFont="1" applyBorder="1" applyAlignment="1">
      <alignment horizontal="center" vertical="center"/>
    </xf>
    <xf numFmtId="0" fontId="39" fillId="0" borderId="77" xfId="0" applyFont="1" applyBorder="1" applyAlignment="1">
      <alignment horizontal="center"/>
    </xf>
    <xf numFmtId="0" fontId="39" fillId="0" borderId="61" xfId="0" applyFont="1" applyBorder="1" applyAlignment="1">
      <alignment horizontal="center"/>
    </xf>
    <xf numFmtId="0" fontId="39" fillId="0" borderId="61" xfId="0" applyFont="1" applyBorder="1" applyAlignment="1">
      <alignment horizontal="center" vertical="center"/>
    </xf>
    <xf numFmtId="167" fontId="41" fillId="0" borderId="0" xfId="0" applyNumberFormat="1" applyFont="1" applyAlignment="1">
      <alignment horizontal="center"/>
    </xf>
    <xf numFmtId="0" fontId="39" fillId="0" borderId="0" xfId="0" applyFont="1" applyAlignment="1">
      <alignment horizontal="center"/>
    </xf>
    <xf numFmtId="1" fontId="39" fillId="0" borderId="77" xfId="0" applyNumberFormat="1" applyFont="1" applyBorder="1" applyAlignment="1">
      <alignment horizontal="center" vertical="center"/>
    </xf>
    <xf numFmtId="170" fontId="26" fillId="0" borderId="0" xfId="0" applyNumberFormat="1" applyFont="1" applyAlignment="1">
      <alignment horizontal="left" vertical="center"/>
    </xf>
    <xf numFmtId="0" fontId="18" fillId="7" borderId="86" xfId="0" applyFont="1" applyFill="1" applyBorder="1" applyAlignment="1">
      <alignment vertical="center"/>
    </xf>
    <xf numFmtId="0" fontId="18" fillId="7" borderId="0" xfId="0" applyFont="1" applyFill="1" applyAlignment="1">
      <alignment vertical="center"/>
    </xf>
    <xf numFmtId="0" fontId="18" fillId="7" borderId="0" xfId="0" applyFont="1" applyFill="1" applyAlignment="1">
      <alignment horizontal="center" vertical="center"/>
    </xf>
    <xf numFmtId="0" fontId="18" fillId="7" borderId="29" xfId="0" applyFont="1" applyFill="1" applyBorder="1" applyAlignment="1">
      <alignment horizontal="left" vertical="center"/>
    </xf>
    <xf numFmtId="0" fontId="17" fillId="7" borderId="0" xfId="0" applyFont="1" applyFill="1" applyAlignment="1">
      <alignment vertical="center"/>
    </xf>
    <xf numFmtId="0" fontId="18" fillId="7" borderId="87" xfId="0" applyFont="1" applyFill="1" applyBorder="1" applyAlignment="1">
      <alignment vertical="center"/>
    </xf>
    <xf numFmtId="0" fontId="18" fillId="7" borderId="36" xfId="0" applyFont="1" applyFill="1" applyBorder="1" applyAlignment="1">
      <alignment vertical="center"/>
    </xf>
    <xf numFmtId="0" fontId="17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8" fontId="17" fillId="0" borderId="0" xfId="0" applyNumberFormat="1" applyFont="1" applyAlignment="1">
      <alignment horizontal="left"/>
    </xf>
    <xf numFmtId="0" fontId="14" fillId="0" borderId="36" xfId="0" applyFont="1" applyBorder="1"/>
    <xf numFmtId="0" fontId="14" fillId="0" borderId="0" xfId="0" applyFont="1" applyAlignment="1">
      <alignment horizontal="left" vertical="center"/>
    </xf>
    <xf numFmtId="0" fontId="37" fillId="0" borderId="0" xfId="0" applyFont="1"/>
    <xf numFmtId="1" fontId="17" fillId="0" borderId="0" xfId="0" applyNumberFormat="1" applyFont="1" applyAlignment="1">
      <alignment horizontal="center"/>
    </xf>
    <xf numFmtId="1" fontId="17" fillId="0" borderId="0" xfId="0" applyNumberFormat="1" applyFont="1" applyAlignment="1">
      <alignment horizontal="left"/>
    </xf>
    <xf numFmtId="168" fontId="17" fillId="0" borderId="0" xfId="0" applyNumberFormat="1" applyFont="1" applyAlignment="1">
      <alignment horizontal="left" vertical="center"/>
    </xf>
    <xf numFmtId="14" fontId="17" fillId="0" borderId="0" xfId="0" applyNumberFormat="1" applyFont="1" applyAlignment="1">
      <alignment horizontal="center" vertical="center"/>
    </xf>
    <xf numFmtId="168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5" fillId="5" borderId="0" xfId="0" applyFont="1" applyFill="1"/>
    <xf numFmtId="0" fontId="45" fillId="5" borderId="0" xfId="0" applyFont="1" applyFill="1" applyAlignment="1">
      <alignment vertical="center"/>
    </xf>
    <xf numFmtId="0" fontId="21" fillId="10" borderId="76" xfId="0" applyFont="1" applyFill="1" applyBorder="1" applyAlignment="1">
      <alignment horizontal="center" vertical="center"/>
    </xf>
    <xf numFmtId="0" fontId="18" fillId="10" borderId="0" xfId="0" applyFont="1" applyFill="1" applyAlignment="1">
      <alignment horizontal="left" vertical="center"/>
    </xf>
    <xf numFmtId="0" fontId="16" fillId="10" borderId="64" xfId="0" applyFont="1" applyFill="1" applyBorder="1" applyAlignment="1">
      <alignment vertical="center" wrapText="1"/>
    </xf>
    <xf numFmtId="14" fontId="18" fillId="10" borderId="12" xfId="0" applyNumberFormat="1" applyFont="1" applyFill="1" applyBorder="1" applyAlignment="1">
      <alignment horizontal="center" vertical="center"/>
    </xf>
    <xf numFmtId="14" fontId="18" fillId="6" borderId="12" xfId="0" applyNumberFormat="1" applyFont="1" applyFill="1" applyBorder="1" applyAlignment="1">
      <alignment horizontal="center" vertical="center"/>
    </xf>
    <xf numFmtId="0" fontId="21" fillId="6" borderId="76" xfId="0" applyFont="1" applyFill="1" applyBorder="1" applyAlignment="1">
      <alignment horizontal="center" vertical="center"/>
    </xf>
    <xf numFmtId="0" fontId="18" fillId="6" borderId="0" xfId="0" applyFont="1" applyFill="1" applyAlignment="1">
      <alignment horizontal="left" vertical="center"/>
    </xf>
    <xf numFmtId="0" fontId="16" fillId="6" borderId="64" xfId="0" applyFont="1" applyFill="1" applyBorder="1" applyAlignment="1">
      <alignment vertical="center" wrapText="1"/>
    </xf>
    <xf numFmtId="0" fontId="21" fillId="6" borderId="75" xfId="0" applyFont="1" applyFill="1" applyBorder="1" applyAlignment="1">
      <alignment horizontal="center" vertical="center"/>
    </xf>
    <xf numFmtId="164" fontId="18" fillId="6" borderId="76" xfId="0" applyNumberFormat="1" applyFont="1" applyFill="1" applyBorder="1" applyAlignment="1">
      <alignment horizontal="center" vertical="center"/>
    </xf>
    <xf numFmtId="0" fontId="40" fillId="0" borderId="61" xfId="0" applyFont="1" applyBorder="1" applyAlignment="1">
      <alignment horizontal="center" vertical="center" wrapText="1"/>
    </xf>
    <xf numFmtId="0" fontId="16" fillId="10" borderId="61" xfId="0" applyFont="1" applyFill="1" applyBorder="1" applyAlignment="1">
      <alignment vertical="center" wrapText="1"/>
    </xf>
    <xf numFmtId="0" fontId="16" fillId="10" borderId="62" xfId="0" applyFont="1" applyFill="1" applyBorder="1" applyAlignment="1">
      <alignment vertical="center" wrapText="1"/>
    </xf>
    <xf numFmtId="0" fontId="18" fillId="0" borderId="0" xfId="0" applyFont="1" applyAlignment="1">
      <alignment horizontal="right" vertical="center"/>
    </xf>
    <xf numFmtId="166" fontId="18" fillId="0" borderId="92" xfId="0" applyNumberFormat="1" applyFont="1" applyBorder="1" applyAlignment="1">
      <alignment horizontal="center" vertical="center"/>
    </xf>
    <xf numFmtId="14" fontId="18" fillId="0" borderId="62" xfId="0" applyNumberFormat="1" applyFont="1" applyBorder="1" applyAlignment="1">
      <alignment horizontal="center" vertical="center"/>
    </xf>
    <xf numFmtId="0" fontId="17" fillId="7" borderId="36" xfId="0" applyFont="1" applyFill="1" applyBorder="1" applyAlignment="1">
      <alignment vertical="center"/>
    </xf>
    <xf numFmtId="0" fontId="18" fillId="7" borderId="97" xfId="0" applyFont="1" applyFill="1" applyBorder="1" applyAlignment="1">
      <alignment horizontal="center" vertical="center"/>
    </xf>
    <xf numFmtId="170" fontId="26" fillId="7" borderId="32" xfId="0" applyNumberFormat="1" applyFont="1" applyFill="1" applyBorder="1" applyAlignment="1">
      <alignment horizontal="left" vertical="center"/>
    </xf>
    <xf numFmtId="0" fontId="18" fillId="7" borderId="93" xfId="0" applyFont="1" applyFill="1" applyBorder="1" applyAlignment="1">
      <alignment vertical="center"/>
    </xf>
    <xf numFmtId="0" fontId="18" fillId="7" borderId="94" xfId="0" applyFont="1" applyFill="1" applyBorder="1" applyAlignment="1">
      <alignment vertical="center"/>
    </xf>
    <xf numFmtId="0" fontId="18" fillId="7" borderId="94" xfId="0" applyFont="1" applyFill="1" applyBorder="1" applyAlignment="1">
      <alignment horizontal="center" vertical="center"/>
    </xf>
    <xf numFmtId="170" fontId="18" fillId="7" borderId="95" xfId="0" applyNumberFormat="1" applyFont="1" applyFill="1" applyBorder="1" applyAlignment="1">
      <alignment horizontal="left" vertical="center"/>
    </xf>
    <xf numFmtId="0" fontId="49" fillId="0" borderId="0" xfId="0" applyFont="1" applyAlignment="1">
      <alignment vertical="center"/>
    </xf>
    <xf numFmtId="0" fontId="3" fillId="5" borderId="0" xfId="0" applyFont="1" applyFill="1" applyAlignment="1">
      <alignment vertical="center"/>
    </xf>
    <xf numFmtId="164" fontId="18" fillId="6" borderId="21" xfId="0" applyNumberFormat="1" applyFont="1" applyFill="1" applyBorder="1" applyAlignment="1">
      <alignment horizontal="center" vertical="center"/>
    </xf>
    <xf numFmtId="0" fontId="32" fillId="0" borderId="2" xfId="0" applyFont="1" applyBorder="1" applyAlignment="1">
      <alignment horizontal="left" vertical="center"/>
    </xf>
    <xf numFmtId="164" fontId="52" fillId="6" borderId="76" xfId="0" applyNumberFormat="1" applyFont="1" applyFill="1" applyBorder="1" applyAlignment="1">
      <alignment horizontal="center" vertical="center"/>
    </xf>
    <xf numFmtId="0" fontId="16" fillId="10" borderId="76" xfId="0" applyFont="1" applyFill="1" applyBorder="1" applyAlignment="1">
      <alignment vertical="center" wrapText="1"/>
    </xf>
    <xf numFmtId="0" fontId="18" fillId="10" borderId="21" xfId="0" applyFont="1" applyFill="1" applyBorder="1" applyAlignment="1">
      <alignment horizontal="left" vertical="center"/>
    </xf>
    <xf numFmtId="0" fontId="16" fillId="6" borderId="76" xfId="0" applyFont="1" applyFill="1" applyBorder="1" applyAlignment="1">
      <alignment vertical="center" wrapText="1"/>
    </xf>
    <xf numFmtId="0" fontId="0" fillId="5" borderId="0" xfId="0" applyFill="1" applyAlignment="1">
      <alignment vertical="center"/>
    </xf>
    <xf numFmtId="0" fontId="15" fillId="5" borderId="0" xfId="0" applyFont="1" applyFill="1" applyAlignment="1">
      <alignment vertical="center"/>
    </xf>
    <xf numFmtId="0" fontId="51" fillId="5" borderId="0" xfId="0" applyFont="1" applyFill="1" applyAlignment="1">
      <alignment vertical="center"/>
    </xf>
    <xf numFmtId="0" fontId="8" fillId="11" borderId="0" xfId="0" applyFont="1" applyFill="1" applyAlignment="1">
      <alignment vertical="center"/>
    </xf>
    <xf numFmtId="0" fontId="42" fillId="5" borderId="0" xfId="0" applyFont="1" applyFill="1" applyAlignment="1">
      <alignment vertical="center"/>
    </xf>
    <xf numFmtId="0" fontId="42" fillId="5" borderId="0" xfId="0" applyFont="1" applyFill="1" applyAlignment="1">
      <alignment horizontal="left" vertical="center"/>
    </xf>
    <xf numFmtId="0" fontId="43" fillId="5" borderId="0" xfId="0" applyFont="1" applyFill="1" applyAlignment="1">
      <alignment vertical="center"/>
    </xf>
    <xf numFmtId="0" fontId="38" fillId="5" borderId="0" xfId="0" applyFont="1" applyFill="1" applyAlignment="1">
      <alignment vertical="center"/>
    </xf>
    <xf numFmtId="0" fontId="44" fillId="5" borderId="0" xfId="0" applyFont="1" applyFill="1" applyAlignment="1">
      <alignment vertical="center"/>
    </xf>
    <xf numFmtId="0" fontId="11" fillId="5" borderId="0" xfId="0" applyFont="1" applyFill="1" applyAlignment="1">
      <alignment vertical="center"/>
    </xf>
    <xf numFmtId="2" fontId="18" fillId="0" borderId="30" xfId="0" applyNumberFormat="1" applyFont="1" applyBorder="1" applyAlignment="1">
      <alignment horizontal="center" vertical="center"/>
    </xf>
    <xf numFmtId="167" fontId="41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1" fillId="10" borderId="76" xfId="0" applyFont="1" applyFill="1" applyBorder="1" applyAlignment="1" applyProtection="1">
      <alignment horizontal="center" vertical="center"/>
      <protection locked="0"/>
    </xf>
    <xf numFmtId="0" fontId="21" fillId="6" borderId="75" xfId="0" applyFont="1" applyFill="1" applyBorder="1" applyAlignment="1" applyProtection="1">
      <alignment horizontal="center" vertical="center"/>
      <protection locked="0"/>
    </xf>
    <xf numFmtId="0" fontId="53" fillId="0" borderId="0" xfId="0" applyFont="1" applyAlignment="1">
      <alignment vertical="center"/>
    </xf>
    <xf numFmtId="0" fontId="32" fillId="0" borderId="0" xfId="0" applyFont="1" applyAlignment="1">
      <alignment horizontal="left" vertical="center"/>
    </xf>
    <xf numFmtId="2" fontId="18" fillId="6" borderId="64" xfId="0" applyNumberFormat="1" applyFont="1" applyFill="1" applyBorder="1" applyAlignment="1">
      <alignment horizontal="center" vertical="center"/>
    </xf>
    <xf numFmtId="164" fontId="52" fillId="6" borderId="99" xfId="0" applyNumberFormat="1" applyFont="1" applyFill="1" applyBorder="1" applyAlignment="1">
      <alignment horizontal="center" vertical="center"/>
    </xf>
    <xf numFmtId="167" fontId="21" fillId="0" borderId="100" xfId="0" applyNumberFormat="1" applyFont="1" applyBorder="1" applyAlignment="1" applyProtection="1">
      <alignment horizontal="center"/>
      <protection locked="0"/>
    </xf>
    <xf numFmtId="167" fontId="21" fillId="0" borderId="101" xfId="0" applyNumberFormat="1" applyFont="1" applyBorder="1" applyAlignment="1" applyProtection="1">
      <alignment horizontal="center"/>
      <protection locked="0"/>
    </xf>
    <xf numFmtId="2" fontId="18" fillId="6" borderId="102" xfId="0" applyNumberFormat="1" applyFont="1" applyFill="1" applyBorder="1" applyAlignment="1">
      <alignment horizontal="center" vertical="center"/>
    </xf>
    <xf numFmtId="0" fontId="16" fillId="6" borderId="21" xfId="0" applyFont="1" applyFill="1" applyBorder="1" applyAlignment="1">
      <alignment vertical="center" wrapText="1"/>
    </xf>
    <xf numFmtId="0" fontId="18" fillId="7" borderId="80" xfId="0" applyFont="1" applyFill="1" applyBorder="1" applyAlignment="1">
      <alignment horizontal="left" vertical="center"/>
    </xf>
    <xf numFmtId="0" fontId="37" fillId="0" borderId="0" xfId="0" applyFont="1" applyAlignment="1">
      <alignment horizontal="center"/>
    </xf>
    <xf numFmtId="0" fontId="18" fillId="4" borderId="104" xfId="0" applyFont="1" applyFill="1" applyBorder="1" applyAlignment="1" applyProtection="1">
      <alignment horizontal="center" vertical="center"/>
      <protection locked="0"/>
    </xf>
    <xf numFmtId="167" fontId="21" fillId="0" borderId="62" xfId="0" applyNumberFormat="1" applyFont="1" applyBorder="1" applyAlignment="1" applyProtection="1">
      <alignment horizontal="center"/>
      <protection locked="0"/>
    </xf>
    <xf numFmtId="0" fontId="50" fillId="0" borderId="0" xfId="0" applyFont="1" applyAlignment="1">
      <alignment vertical="center"/>
    </xf>
    <xf numFmtId="0" fontId="18" fillId="9" borderId="23" xfId="0" applyFont="1" applyFill="1" applyBorder="1" applyAlignment="1" applyProtection="1">
      <alignment horizontal="center" vertical="center"/>
      <protection locked="0"/>
    </xf>
    <xf numFmtId="0" fontId="39" fillId="5" borderId="78" xfId="0" applyFont="1" applyFill="1" applyBorder="1" applyAlignment="1">
      <alignment horizontal="center" vertical="center"/>
    </xf>
    <xf numFmtId="164" fontId="39" fillId="5" borderId="25" xfId="0" applyNumberFormat="1" applyFont="1" applyFill="1" applyBorder="1" applyAlignment="1">
      <alignment horizontal="center" vertical="center"/>
    </xf>
    <xf numFmtId="0" fontId="39" fillId="5" borderId="77" xfId="0" applyFont="1" applyFill="1" applyBorder="1" applyAlignment="1">
      <alignment horizontal="center" vertical="center"/>
    </xf>
    <xf numFmtId="164" fontId="39" fillId="5" borderId="77" xfId="0" applyNumberFormat="1" applyFont="1" applyFill="1" applyBorder="1" applyAlignment="1">
      <alignment horizontal="center" vertical="center"/>
    </xf>
    <xf numFmtId="2" fontId="21" fillId="0" borderId="18" xfId="0" applyNumberFormat="1" applyFont="1" applyBorder="1" applyAlignment="1">
      <alignment horizontal="center" vertical="center"/>
    </xf>
    <xf numFmtId="2" fontId="21" fillId="0" borderId="71" xfId="0" applyNumberFormat="1" applyFont="1" applyBorder="1" applyAlignment="1">
      <alignment horizontal="center" vertical="center"/>
    </xf>
    <xf numFmtId="2" fontId="21" fillId="0" borderId="69" xfId="0" applyNumberFormat="1" applyFont="1" applyBorder="1" applyAlignment="1">
      <alignment horizontal="center" vertical="center"/>
    </xf>
    <xf numFmtId="2" fontId="18" fillId="0" borderId="27" xfId="0" applyNumberFormat="1" applyFont="1" applyBorder="1" applyAlignment="1">
      <alignment horizontal="center" vertical="center"/>
    </xf>
    <xf numFmtId="2" fontId="50" fillId="6" borderId="76" xfId="0" applyNumberFormat="1" applyFont="1" applyFill="1" applyBorder="1" applyAlignment="1">
      <alignment horizontal="center" vertical="center"/>
    </xf>
    <xf numFmtId="2" fontId="39" fillId="0" borderId="77" xfId="0" applyNumberFormat="1" applyFont="1" applyBorder="1" applyAlignment="1">
      <alignment horizontal="center" vertical="center"/>
    </xf>
    <xf numFmtId="2" fontId="39" fillId="0" borderId="61" xfId="0" applyNumberFormat="1" applyFont="1" applyBorder="1" applyAlignment="1">
      <alignment horizontal="center" vertical="center"/>
    </xf>
    <xf numFmtId="2" fontId="41" fillId="0" borderId="0" xfId="0" applyNumberFormat="1" applyFont="1" applyAlignment="1">
      <alignment horizontal="center" vertical="center"/>
    </xf>
    <xf numFmtId="2" fontId="39" fillId="0" borderId="0" xfId="0" applyNumberFormat="1" applyFont="1" applyAlignment="1">
      <alignment horizontal="center" vertical="center"/>
    </xf>
    <xf numFmtId="2" fontId="18" fillId="10" borderId="99" xfId="0" applyNumberFormat="1" applyFont="1" applyFill="1" applyBorder="1" applyAlignment="1">
      <alignment horizontal="center" vertical="center"/>
    </xf>
    <xf numFmtId="2" fontId="18" fillId="6" borderId="76" xfId="0" applyNumberFormat="1" applyFont="1" applyFill="1" applyBorder="1" applyAlignment="1">
      <alignment horizontal="center" vertical="center"/>
    </xf>
    <xf numFmtId="2" fontId="18" fillId="6" borderId="25" xfId="0" applyNumberFormat="1" applyFont="1" applyFill="1" applyBorder="1" applyAlignment="1">
      <alignment horizontal="center" vertical="center"/>
    </xf>
    <xf numFmtId="2" fontId="18" fillId="10" borderId="76" xfId="0" applyNumberFormat="1" applyFont="1" applyFill="1" applyBorder="1" applyAlignment="1">
      <alignment horizontal="center" vertical="center"/>
    </xf>
    <xf numFmtId="0" fontId="3" fillId="5" borderId="0" xfId="0" applyFont="1" applyFill="1" applyAlignment="1">
      <alignment horizontal="right" vertical="center"/>
    </xf>
    <xf numFmtId="2" fontId="14" fillId="0" borderId="0" xfId="0" applyNumberFormat="1" applyFont="1" applyAlignment="1">
      <alignment horizontal="center"/>
    </xf>
    <xf numFmtId="0" fontId="18" fillId="6" borderId="0" xfId="0" applyFont="1" applyFill="1" applyAlignment="1">
      <alignment horizontal="center" vertical="center"/>
    </xf>
    <xf numFmtId="2" fontId="18" fillId="6" borderId="0" xfId="0" applyNumberFormat="1" applyFont="1" applyFill="1" applyAlignment="1">
      <alignment horizontal="center" vertical="center"/>
    </xf>
    <xf numFmtId="170" fontId="18" fillId="6" borderId="5" xfId="0" applyNumberFormat="1" applyFont="1" applyFill="1" applyBorder="1" applyAlignment="1">
      <alignment horizontal="left" vertical="center"/>
    </xf>
    <xf numFmtId="0" fontId="32" fillId="0" borderId="0" xfId="0" applyFont="1" applyAlignment="1">
      <alignment horizontal="center" vertical="center"/>
    </xf>
    <xf numFmtId="170" fontId="18" fillId="6" borderId="8" xfId="0" applyNumberFormat="1" applyFont="1" applyFill="1" applyBorder="1" applyAlignment="1">
      <alignment horizontal="left" vertical="center"/>
    </xf>
    <xf numFmtId="0" fontId="18" fillId="6" borderId="6" xfId="0" applyFont="1" applyFill="1" applyBorder="1" applyAlignment="1">
      <alignment horizontal="left" vertical="center"/>
    </xf>
    <xf numFmtId="0" fontId="18" fillId="6" borderId="7" xfId="0" applyFont="1" applyFill="1" applyBorder="1" applyAlignment="1">
      <alignment horizontal="left" vertical="center"/>
    </xf>
    <xf numFmtId="0" fontId="18" fillId="5" borderId="0" xfId="0" applyFont="1" applyFill="1"/>
    <xf numFmtId="164" fontId="39" fillId="5" borderId="98" xfId="0" applyNumberFormat="1" applyFont="1" applyFill="1" applyBorder="1" applyAlignment="1">
      <alignment horizontal="center" vertical="center"/>
    </xf>
    <xf numFmtId="0" fontId="41" fillId="0" borderId="0" xfId="0" applyFont="1" applyAlignment="1">
      <alignment vertical="center"/>
    </xf>
    <xf numFmtId="0" fontId="39" fillId="0" borderId="0" xfId="0" applyFont="1"/>
    <xf numFmtId="0" fontId="39" fillId="0" borderId="25" xfId="0" applyFont="1" applyBorder="1"/>
    <xf numFmtId="0" fontId="39" fillId="0" borderId="77" xfId="0" applyFont="1" applyBorder="1"/>
    <xf numFmtId="0" fontId="39" fillId="0" borderId="98" xfId="0" applyFont="1" applyBorder="1"/>
    <xf numFmtId="0" fontId="47" fillId="12" borderId="86" xfId="0" applyFont="1" applyFill="1" applyBorder="1" applyAlignment="1">
      <alignment vertical="center"/>
    </xf>
    <xf numFmtId="0" fontId="47" fillId="12" borderId="0" xfId="0" applyFont="1" applyFill="1" applyAlignment="1">
      <alignment vertical="center"/>
    </xf>
    <xf numFmtId="0" fontId="48" fillId="12" borderId="0" xfId="0" applyFont="1" applyFill="1" applyAlignment="1">
      <alignment vertical="center"/>
    </xf>
    <xf numFmtId="170" fontId="47" fillId="12" borderId="29" xfId="0" applyNumberFormat="1" applyFont="1" applyFill="1" applyBorder="1" applyAlignment="1">
      <alignment horizontal="left" vertical="center"/>
    </xf>
    <xf numFmtId="0" fontId="39" fillId="0" borderId="0" xfId="0" applyFont="1" applyAlignment="1">
      <alignment vertical="center"/>
    </xf>
    <xf numFmtId="167" fontId="41" fillId="0" borderId="0" xfId="0" applyNumberFormat="1" applyFont="1" applyAlignment="1" applyProtection="1">
      <alignment horizontal="center"/>
      <protection locked="0"/>
    </xf>
    <xf numFmtId="0" fontId="39" fillId="0" borderId="0" xfId="0" applyFont="1" applyAlignment="1">
      <alignment horizontal="left" vertical="center"/>
    </xf>
    <xf numFmtId="0" fontId="54" fillId="2" borderId="25" xfId="0" applyFont="1" applyFill="1" applyBorder="1" applyAlignment="1">
      <alignment horizontal="center" vertical="center"/>
    </xf>
    <xf numFmtId="0" fontId="54" fillId="2" borderId="77" xfId="0" applyFont="1" applyFill="1" applyBorder="1" applyAlignment="1">
      <alignment horizontal="center" vertical="center"/>
    </xf>
    <xf numFmtId="0" fontId="54" fillId="2" borderId="76" xfId="0" applyFont="1" applyFill="1" applyBorder="1" applyAlignment="1">
      <alignment horizontal="center" vertical="center"/>
    </xf>
    <xf numFmtId="0" fontId="54" fillId="0" borderId="69" xfId="0" applyFont="1" applyBorder="1" applyAlignment="1">
      <alignment horizontal="center" vertical="center"/>
    </xf>
    <xf numFmtId="0" fontId="55" fillId="0" borderId="0" xfId="0" applyFont="1" applyAlignment="1">
      <alignment vertical="center"/>
    </xf>
    <xf numFmtId="0" fontId="17" fillId="0" borderId="0" xfId="0" applyFont="1" applyAlignment="1">
      <alignment horizontal="center"/>
    </xf>
    <xf numFmtId="164" fontId="25" fillId="0" borderId="2" xfId="0" applyNumberFormat="1" applyFont="1" applyBorder="1" applyAlignment="1">
      <alignment vertical="center"/>
    </xf>
    <xf numFmtId="0" fontId="18" fillId="10" borderId="76" xfId="0" applyFont="1" applyFill="1" applyBorder="1" applyAlignment="1">
      <alignment vertical="center"/>
    </xf>
    <xf numFmtId="0" fontId="39" fillId="5" borderId="25" xfId="0" applyFont="1" applyFill="1" applyBorder="1" applyAlignment="1">
      <alignment horizontal="center" vertical="center"/>
    </xf>
    <xf numFmtId="0" fontId="39" fillId="0" borderId="25" xfId="0" applyFont="1" applyBorder="1" applyAlignment="1">
      <alignment horizontal="center" vertical="center"/>
    </xf>
    <xf numFmtId="1" fontId="39" fillId="3" borderId="105" xfId="0" applyNumberFormat="1" applyFont="1" applyFill="1" applyBorder="1" applyAlignment="1">
      <alignment horizontal="center" vertical="center"/>
    </xf>
    <xf numFmtId="1" fontId="39" fillId="3" borderId="106" xfId="0" applyNumberFormat="1" applyFont="1" applyFill="1" applyBorder="1" applyAlignment="1">
      <alignment horizontal="center" vertical="center"/>
    </xf>
    <xf numFmtId="1" fontId="39" fillId="3" borderId="103" xfId="0" applyNumberFormat="1" applyFont="1" applyFill="1" applyBorder="1" applyAlignment="1">
      <alignment horizontal="center" vertical="center"/>
    </xf>
    <xf numFmtId="0" fontId="39" fillId="3" borderId="0" xfId="0" applyFont="1" applyFill="1" applyAlignment="1">
      <alignment vertical="center"/>
    </xf>
    <xf numFmtId="0" fontId="39" fillId="3" borderId="0" xfId="0" applyFont="1" applyFill="1" applyAlignment="1">
      <alignment horizontal="center" vertical="center"/>
    </xf>
    <xf numFmtId="2" fontId="39" fillId="3" borderId="103" xfId="0" applyNumberFormat="1" applyFont="1" applyFill="1" applyBorder="1" applyAlignment="1">
      <alignment horizontal="center" vertical="center"/>
    </xf>
    <xf numFmtId="2" fontId="39" fillId="3" borderId="61" xfId="0" applyNumberFormat="1" applyFont="1" applyFill="1" applyBorder="1" applyAlignment="1">
      <alignment horizontal="center" vertical="center"/>
    </xf>
    <xf numFmtId="0" fontId="18" fillId="7" borderId="96" xfId="0" applyFont="1" applyFill="1" applyBorder="1" applyAlignment="1">
      <alignment horizontal="left" vertical="center"/>
    </xf>
    <xf numFmtId="0" fontId="18" fillId="7" borderId="76" xfId="0" applyFont="1" applyFill="1" applyBorder="1" applyAlignment="1">
      <alignment horizontal="left" vertical="center"/>
    </xf>
    <xf numFmtId="3" fontId="18" fillId="6" borderId="0" xfId="0" applyNumberFormat="1" applyFont="1" applyFill="1" applyAlignment="1">
      <alignment horizontal="center" vertical="center"/>
    </xf>
    <xf numFmtId="1" fontId="39" fillId="3" borderId="0" xfId="0" applyNumberFormat="1" applyFont="1" applyFill="1" applyAlignment="1">
      <alignment horizontal="center" vertical="center"/>
    </xf>
    <xf numFmtId="0" fontId="18" fillId="10" borderId="21" xfId="0" applyFont="1" applyFill="1" applyBorder="1" applyAlignment="1">
      <alignment horizontal="center" vertical="center"/>
    </xf>
    <xf numFmtId="0" fontId="18" fillId="7" borderId="63" xfId="0" applyFont="1" applyFill="1" applyBorder="1" applyAlignment="1">
      <alignment horizontal="left" vertical="center"/>
    </xf>
    <xf numFmtId="0" fontId="18" fillId="7" borderId="21" xfId="0" applyFont="1" applyFill="1" applyBorder="1" applyAlignment="1">
      <alignment horizontal="left" vertical="center"/>
    </xf>
    <xf numFmtId="1" fontId="39" fillId="0" borderId="107" xfId="0" applyNumberFormat="1" applyFont="1" applyBorder="1" applyAlignment="1">
      <alignment horizontal="center" vertical="center"/>
    </xf>
    <xf numFmtId="0" fontId="39" fillId="0" borderId="108" xfId="0" applyFont="1" applyBorder="1" applyAlignment="1">
      <alignment horizontal="center" vertical="center"/>
    </xf>
    <xf numFmtId="0" fontId="18" fillId="0" borderId="0" xfId="0" applyFont="1"/>
    <xf numFmtId="0" fontId="18" fillId="3" borderId="0" xfId="0" applyFont="1" applyFill="1" applyAlignment="1">
      <alignment horizontal="center" vertical="center"/>
    </xf>
    <xf numFmtId="2" fontId="14" fillId="0" borderId="23" xfId="0" applyNumberFormat="1" applyFont="1" applyBorder="1" applyAlignment="1">
      <alignment horizontal="center" vertical="center"/>
    </xf>
    <xf numFmtId="2" fontId="20" fillId="3" borderId="0" xfId="0" applyNumberFormat="1" applyFont="1" applyFill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1" fontId="17" fillId="0" borderId="0" xfId="0" applyNumberFormat="1" applyFont="1" applyAlignment="1">
      <alignment horizontal="center" vertical="center"/>
    </xf>
    <xf numFmtId="0" fontId="39" fillId="8" borderId="77" xfId="0" applyFont="1" applyFill="1" applyBorder="1" applyAlignment="1">
      <alignment horizontal="center" vertical="center"/>
    </xf>
    <xf numFmtId="0" fontId="40" fillId="2" borderId="77" xfId="0" applyFont="1" applyFill="1" applyBorder="1" applyAlignment="1">
      <alignment horizontal="center" vertical="center" wrapText="1"/>
    </xf>
    <xf numFmtId="0" fontId="39" fillId="2" borderId="107" xfId="0" applyFont="1" applyFill="1" applyBorder="1" applyAlignment="1">
      <alignment horizontal="center" vertical="center"/>
    </xf>
    <xf numFmtId="0" fontId="39" fillId="2" borderId="77" xfId="0" applyFont="1" applyFill="1" applyBorder="1" applyAlignment="1">
      <alignment horizontal="center" vertical="center"/>
    </xf>
    <xf numFmtId="0" fontId="45" fillId="5" borderId="21" xfId="0" applyFont="1" applyFill="1" applyBorder="1" applyAlignment="1">
      <alignment vertical="center"/>
    </xf>
    <xf numFmtId="164" fontId="53" fillId="5" borderId="0" xfId="0" applyNumberFormat="1" applyFont="1" applyFill="1" applyAlignment="1">
      <alignment horizontal="center" vertical="top"/>
    </xf>
    <xf numFmtId="49" fontId="14" fillId="0" borderId="0" xfId="0" applyNumberFormat="1" applyFont="1" applyAlignment="1">
      <alignment horizontal="center" vertical="center"/>
    </xf>
    <xf numFmtId="171" fontId="17" fillId="0" borderId="0" xfId="0" applyNumberFormat="1" applyFont="1" applyAlignment="1">
      <alignment horizontal="center" vertical="center"/>
    </xf>
    <xf numFmtId="0" fontId="56" fillId="5" borderId="0" xfId="0" applyFont="1" applyFill="1" applyAlignment="1">
      <alignment vertical="center"/>
    </xf>
    <xf numFmtId="0" fontId="57" fillId="5" borderId="0" xfId="0" applyFont="1" applyFill="1"/>
    <xf numFmtId="0" fontId="17" fillId="5" borderId="0" xfId="0" applyFont="1" applyFill="1"/>
    <xf numFmtId="0" fontId="58" fillId="5" borderId="110" xfId="0" applyFont="1" applyFill="1" applyBorder="1" applyAlignment="1">
      <alignment horizontal="center" vertical="center"/>
    </xf>
    <xf numFmtId="0" fontId="59" fillId="6" borderId="110" xfId="0" applyFont="1" applyFill="1" applyBorder="1" applyAlignment="1">
      <alignment horizontal="center" vertical="center"/>
    </xf>
    <xf numFmtId="0" fontId="59" fillId="6" borderId="110" xfId="0" applyFont="1" applyFill="1" applyBorder="1" applyAlignment="1">
      <alignment horizontal="left" vertical="center"/>
    </xf>
    <xf numFmtId="1" fontId="58" fillId="5" borderId="110" xfId="0" applyNumberFormat="1" applyFont="1" applyFill="1" applyBorder="1" applyAlignment="1">
      <alignment horizontal="center" vertical="center"/>
    </xf>
    <xf numFmtId="49" fontId="59" fillId="6" borderId="110" xfId="0" applyNumberFormat="1" applyFont="1" applyFill="1" applyBorder="1" applyAlignment="1">
      <alignment horizontal="left" vertical="center"/>
    </xf>
    <xf numFmtId="0" fontId="58" fillId="5" borderId="0" xfId="0" applyFont="1" applyFill="1"/>
    <xf numFmtId="0" fontId="59" fillId="5" borderId="110" xfId="0" applyFont="1" applyFill="1" applyBorder="1" applyAlignment="1">
      <alignment horizontal="center" vertical="center"/>
    </xf>
    <xf numFmtId="0" fontId="59" fillId="6" borderId="110" xfId="0" applyFont="1" applyFill="1" applyBorder="1" applyAlignment="1">
      <alignment vertical="center"/>
    </xf>
    <xf numFmtId="1" fontId="17" fillId="5" borderId="0" xfId="0" applyNumberFormat="1" applyFont="1" applyFill="1"/>
    <xf numFmtId="172" fontId="58" fillId="5" borderId="110" xfId="0" applyNumberFormat="1" applyFont="1" applyFill="1" applyBorder="1" applyAlignment="1">
      <alignment horizontal="center" vertical="center"/>
    </xf>
    <xf numFmtId="0" fontId="45" fillId="5" borderId="110" xfId="0" applyFont="1" applyFill="1" applyBorder="1"/>
    <xf numFmtId="0" fontId="39" fillId="0" borderId="98" xfId="0" applyFont="1" applyBorder="1" applyAlignment="1">
      <alignment horizontal="center" vertical="center"/>
    </xf>
    <xf numFmtId="167" fontId="55" fillId="0" borderId="0" xfId="0" applyNumberFormat="1" applyFont="1" applyAlignment="1" applyProtection="1">
      <alignment horizontal="center"/>
      <protection locked="0"/>
    </xf>
    <xf numFmtId="0" fontId="54" fillId="0" borderId="0" xfId="0" applyFont="1" applyAlignment="1">
      <alignment horizontal="center"/>
    </xf>
    <xf numFmtId="0" fontId="54" fillId="0" borderId="0" xfId="0" applyFont="1" applyAlignment="1">
      <alignment horizontal="center" vertical="center"/>
    </xf>
    <xf numFmtId="0" fontId="54" fillId="0" borderId="77" xfId="0" applyFont="1" applyBorder="1" applyAlignment="1">
      <alignment horizontal="center"/>
    </xf>
    <xf numFmtId="0" fontId="54" fillId="6" borderId="77" xfId="0" applyFont="1" applyFill="1" applyBorder="1" applyAlignment="1">
      <alignment horizontal="center"/>
    </xf>
    <xf numFmtId="0" fontId="37" fillId="0" borderId="0" xfId="0" applyFont="1" applyAlignment="1">
      <alignment horizontal="center" vertical="center"/>
    </xf>
    <xf numFmtId="0" fontId="45" fillId="5" borderId="0" xfId="0" applyFont="1" applyFill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/>
    </xf>
    <xf numFmtId="0" fontId="17" fillId="4" borderId="114" xfId="0" applyFont="1" applyFill="1" applyBorder="1" applyAlignment="1" applyProtection="1">
      <alignment horizontal="center" vertical="center"/>
      <protection locked="0"/>
    </xf>
    <xf numFmtId="0" fontId="22" fillId="6" borderId="111" xfId="0" applyFont="1" applyFill="1" applyBorder="1" applyAlignment="1">
      <alignment vertical="center"/>
    </xf>
    <xf numFmtId="0" fontId="22" fillId="6" borderId="115" xfId="0" applyFont="1" applyFill="1" applyBorder="1" applyAlignment="1">
      <alignment vertical="center"/>
    </xf>
    <xf numFmtId="1" fontId="49" fillId="5" borderId="29" xfId="0" applyNumberFormat="1" applyFont="1" applyFill="1" applyBorder="1" applyAlignment="1">
      <alignment horizontal="center" vertical="center"/>
    </xf>
    <xf numFmtId="0" fontId="18" fillId="5" borderId="0" xfId="0" applyFont="1" applyFill="1" applyAlignment="1">
      <alignment horizontal="center"/>
    </xf>
    <xf numFmtId="0" fontId="61" fillId="5" borderId="0" xfId="0" applyFont="1" applyFill="1"/>
    <xf numFmtId="0" fontId="17" fillId="3" borderId="0" xfId="0" applyFont="1" applyFill="1" applyAlignment="1">
      <alignment vertical="center"/>
    </xf>
    <xf numFmtId="10" fontId="18" fillId="3" borderId="0" xfId="0" applyNumberFormat="1" applyFont="1" applyFill="1" applyAlignment="1">
      <alignment horizontal="center" vertical="center"/>
    </xf>
    <xf numFmtId="0" fontId="18" fillId="6" borderId="1" xfId="0" applyFont="1" applyFill="1" applyBorder="1" applyAlignment="1">
      <alignment vertical="center"/>
    </xf>
    <xf numFmtId="0" fontId="18" fillId="6" borderId="2" xfId="0" applyFont="1" applyFill="1" applyBorder="1" applyAlignment="1">
      <alignment vertical="center"/>
    </xf>
    <xf numFmtId="170" fontId="18" fillId="6" borderId="3" xfId="0" applyNumberFormat="1" applyFont="1" applyFill="1" applyBorder="1" applyAlignment="1">
      <alignment horizontal="left" vertical="center"/>
    </xf>
    <xf numFmtId="14" fontId="14" fillId="0" borderId="0" xfId="0" applyNumberFormat="1" applyFont="1" applyAlignment="1">
      <alignment horizontal="center"/>
    </xf>
    <xf numFmtId="173" fontId="14" fillId="0" borderId="0" xfId="0" applyNumberFormat="1" applyFont="1" applyAlignment="1">
      <alignment horizontal="center"/>
    </xf>
    <xf numFmtId="0" fontId="18" fillId="6" borderId="2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left" vertical="center"/>
    </xf>
    <xf numFmtId="0" fontId="22" fillId="6" borderId="120" xfId="0" applyFont="1" applyFill="1" applyBorder="1" applyAlignment="1">
      <alignment horizontal="left" vertical="center"/>
    </xf>
    <xf numFmtId="0" fontId="22" fillId="6" borderId="63" xfId="0" applyFont="1" applyFill="1" applyBorder="1" applyAlignment="1">
      <alignment horizontal="left" vertical="center"/>
    </xf>
    <xf numFmtId="164" fontId="22" fillId="5" borderId="0" xfId="0" applyNumberFormat="1" applyFont="1" applyFill="1" applyAlignment="1">
      <alignment horizontal="center" vertical="center"/>
    </xf>
    <xf numFmtId="1" fontId="22" fillId="5" borderId="29" xfId="0" applyNumberFormat="1" applyFont="1" applyFill="1" applyBorder="1" applyAlignment="1">
      <alignment horizontal="center" vertical="center"/>
    </xf>
    <xf numFmtId="0" fontId="22" fillId="6" borderId="96" xfId="0" applyFont="1" applyFill="1" applyBorder="1" applyAlignment="1">
      <alignment horizontal="left" vertical="center"/>
    </xf>
    <xf numFmtId="0" fontId="22" fillId="6" borderId="116" xfId="0" applyFont="1" applyFill="1" applyBorder="1" applyAlignment="1">
      <alignment horizontal="left" vertical="center"/>
    </xf>
    <xf numFmtId="2" fontId="22" fillId="2" borderId="119" xfId="0" applyNumberFormat="1" applyFont="1" applyFill="1" applyBorder="1" applyAlignment="1">
      <alignment horizontal="center" vertical="center"/>
    </xf>
    <xf numFmtId="164" fontId="22" fillId="2" borderId="121" xfId="0" applyNumberFormat="1" applyFont="1" applyFill="1" applyBorder="1" applyAlignment="1">
      <alignment horizontal="center" vertical="center"/>
    </xf>
    <xf numFmtId="1" fontId="22" fillId="2" borderId="119" xfId="0" applyNumberFormat="1" applyFont="1" applyFill="1" applyBorder="1" applyAlignment="1">
      <alignment horizontal="center" vertical="center"/>
    </xf>
    <xf numFmtId="1" fontId="22" fillId="2" borderId="117" xfId="0" applyNumberFormat="1" applyFont="1" applyFill="1" applyBorder="1" applyAlignment="1">
      <alignment horizontal="center" vertical="center"/>
    </xf>
    <xf numFmtId="164" fontId="62" fillId="5" borderId="0" xfId="0" applyNumberFormat="1" applyFont="1" applyFill="1" applyAlignment="1">
      <alignment horizontal="center" vertical="top"/>
    </xf>
    <xf numFmtId="49" fontId="22" fillId="6" borderId="87" xfId="0" applyNumberFormat="1" applyFont="1" applyFill="1" applyBorder="1" applyAlignment="1">
      <alignment horizontal="left" vertical="center"/>
    </xf>
    <xf numFmtId="164" fontId="22" fillId="2" borderId="99" xfId="0" applyNumberFormat="1" applyFont="1" applyFill="1" applyBorder="1" applyAlignment="1">
      <alignment horizontal="center" vertical="center"/>
    </xf>
    <xf numFmtId="1" fontId="22" fillId="2" borderId="118" xfId="0" applyNumberFormat="1" applyFont="1" applyFill="1" applyBorder="1" applyAlignment="1">
      <alignment horizontal="center" vertical="center"/>
    </xf>
    <xf numFmtId="1" fontId="18" fillId="6" borderId="7" xfId="0" applyNumberFormat="1" applyFont="1" applyFill="1" applyBorder="1" applyAlignment="1">
      <alignment horizontal="center" vertical="center"/>
    </xf>
    <xf numFmtId="0" fontId="17" fillId="6" borderId="123" xfId="0" applyFont="1" applyFill="1" applyBorder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18" fillId="6" borderId="122" xfId="0" applyFont="1" applyFill="1" applyBorder="1" applyAlignment="1">
      <alignment vertical="center"/>
    </xf>
    <xf numFmtId="0" fontId="18" fillId="6" borderId="21" xfId="0" applyFont="1" applyFill="1" applyBorder="1" applyAlignment="1">
      <alignment vertical="center"/>
    </xf>
    <xf numFmtId="0" fontId="18" fillId="6" borderId="21" xfId="0" applyFont="1" applyFill="1" applyBorder="1" applyAlignment="1">
      <alignment horizontal="center" vertical="center"/>
    </xf>
    <xf numFmtId="170" fontId="18" fillId="6" borderId="64" xfId="0" applyNumberFormat="1" applyFont="1" applyFill="1" applyBorder="1" applyAlignment="1">
      <alignment horizontal="left" vertical="center"/>
    </xf>
    <xf numFmtId="0" fontId="14" fillId="2" borderId="83" xfId="0" applyFont="1" applyFill="1" applyBorder="1" applyAlignment="1">
      <alignment horizontal="center" vertical="center"/>
    </xf>
    <xf numFmtId="170" fontId="46" fillId="6" borderId="101" xfId="0" applyNumberFormat="1" applyFont="1" applyFill="1" applyBorder="1" applyAlignment="1">
      <alignment horizontal="center" vertical="center"/>
    </xf>
    <xf numFmtId="0" fontId="53" fillId="5" borderId="86" xfId="0" applyFont="1" applyFill="1" applyBorder="1" applyAlignment="1">
      <alignment vertical="center"/>
    </xf>
    <xf numFmtId="0" fontId="16" fillId="5" borderId="93" xfId="0" applyFont="1" applyFill="1" applyBorder="1" applyAlignment="1">
      <alignment horizontal="center" vertical="center"/>
    </xf>
    <xf numFmtId="1" fontId="65" fillId="0" borderId="0" xfId="0" applyNumberFormat="1" applyFont="1" applyAlignment="1">
      <alignment horizontal="center" vertical="center"/>
    </xf>
    <xf numFmtId="0" fontId="63" fillId="5" borderId="21" xfId="0" applyFont="1" applyFill="1" applyBorder="1" applyAlignment="1">
      <alignment vertical="center"/>
    </xf>
    <xf numFmtId="0" fontId="63" fillId="5" borderId="0" xfId="0" applyFont="1" applyFill="1" applyAlignment="1">
      <alignment vertical="center"/>
    </xf>
    <xf numFmtId="1" fontId="18" fillId="5" borderId="114" xfId="0" applyNumberFormat="1" applyFont="1" applyFill="1" applyBorder="1" applyAlignment="1">
      <alignment horizontal="center" vertical="center"/>
    </xf>
    <xf numFmtId="2" fontId="18" fillId="5" borderId="114" xfId="0" applyNumberFormat="1" applyFont="1" applyFill="1" applyBorder="1" applyAlignment="1">
      <alignment horizontal="center" vertical="center"/>
    </xf>
    <xf numFmtId="1" fontId="18" fillId="5" borderId="124" xfId="0" applyNumberFormat="1" applyFont="1" applyFill="1" applyBorder="1" applyAlignment="1">
      <alignment horizontal="center" vertical="center"/>
    </xf>
    <xf numFmtId="0" fontId="18" fillId="7" borderId="112" xfId="0" applyFont="1" applyFill="1" applyBorder="1" applyAlignment="1">
      <alignment horizontal="center" vertical="center"/>
    </xf>
    <xf numFmtId="170" fontId="47" fillId="12" borderId="32" xfId="0" applyNumberFormat="1" applyFont="1" applyFill="1" applyBorder="1" applyAlignment="1">
      <alignment horizontal="left" vertical="center"/>
    </xf>
    <xf numFmtId="0" fontId="48" fillId="12" borderId="21" xfId="0" applyFont="1" applyFill="1" applyBorder="1" applyAlignment="1">
      <alignment vertical="center"/>
    </xf>
    <xf numFmtId="0" fontId="47" fillId="12" borderId="21" xfId="0" applyFont="1" applyFill="1" applyBorder="1" applyAlignment="1">
      <alignment vertical="center"/>
    </xf>
    <xf numFmtId="0" fontId="18" fillId="7" borderId="77" xfId="0" applyFont="1" applyFill="1" applyBorder="1" applyAlignment="1">
      <alignment horizontal="center" vertical="center"/>
    </xf>
    <xf numFmtId="0" fontId="47" fillId="12" borderId="63" xfId="0" applyFont="1" applyFill="1" applyBorder="1" applyAlignment="1">
      <alignment vertical="center"/>
    </xf>
    <xf numFmtId="0" fontId="22" fillId="6" borderId="129" xfId="0" applyFont="1" applyFill="1" applyBorder="1" applyAlignment="1">
      <alignment vertical="center"/>
    </xf>
    <xf numFmtId="0" fontId="17" fillId="6" borderId="93" xfId="0" applyFont="1" applyFill="1" applyBorder="1" applyAlignment="1">
      <alignment vertical="center"/>
    </xf>
    <xf numFmtId="0" fontId="22" fillId="6" borderId="85" xfId="0" applyFont="1" applyFill="1" applyBorder="1" applyAlignment="1">
      <alignment horizontal="center" vertical="center"/>
    </xf>
    <xf numFmtId="0" fontId="22" fillId="6" borderId="130" xfId="0" applyFont="1" applyFill="1" applyBorder="1" applyAlignment="1">
      <alignment horizontal="center" vertical="center"/>
    </xf>
    <xf numFmtId="164" fontId="22" fillId="5" borderId="119" xfId="0" applyNumberFormat="1" applyFont="1" applyFill="1" applyBorder="1" applyAlignment="1">
      <alignment horizontal="center" vertical="center"/>
    </xf>
    <xf numFmtId="0" fontId="22" fillId="6" borderId="127" xfId="0" applyFont="1" applyFill="1" applyBorder="1" applyAlignment="1">
      <alignment horizontal="center" vertical="center"/>
    </xf>
    <xf numFmtId="0" fontId="22" fillId="6" borderId="39" xfId="0" applyFont="1" applyFill="1" applyBorder="1" applyAlignment="1">
      <alignment horizontal="center" vertical="center"/>
    </xf>
    <xf numFmtId="1" fontId="22" fillId="2" borderId="134" xfId="0" applyNumberFormat="1" applyFont="1" applyFill="1" applyBorder="1" applyAlignment="1">
      <alignment horizontal="center" vertical="center"/>
    </xf>
    <xf numFmtId="14" fontId="22" fillId="6" borderId="39" xfId="0" applyNumberFormat="1" applyFont="1" applyFill="1" applyBorder="1" applyAlignment="1">
      <alignment horizontal="center" vertical="center"/>
    </xf>
    <xf numFmtId="0" fontId="17" fillId="4" borderId="98" xfId="0" applyFont="1" applyFill="1" applyBorder="1" applyAlignment="1" applyProtection="1">
      <alignment horizontal="center" vertical="center"/>
      <protection locked="0"/>
    </xf>
    <xf numFmtId="0" fontId="17" fillId="6" borderId="77" xfId="0" applyFont="1" applyFill="1" applyBorder="1" applyAlignment="1">
      <alignment horizontal="center" vertical="center"/>
    </xf>
    <xf numFmtId="0" fontId="17" fillId="4" borderId="76" xfId="0" applyFont="1" applyFill="1" applyBorder="1" applyAlignment="1" applyProtection="1">
      <alignment horizontal="center" vertical="center"/>
      <protection locked="0"/>
    </xf>
    <xf numFmtId="0" fontId="17" fillId="4" borderId="36" xfId="0" applyFont="1" applyFill="1" applyBorder="1" applyAlignment="1" applyProtection="1">
      <alignment horizontal="center" vertical="center"/>
      <protection locked="0"/>
    </xf>
    <xf numFmtId="0" fontId="18" fillId="7" borderId="86" xfId="0" applyFont="1" applyFill="1" applyBorder="1" applyAlignment="1">
      <alignment horizontal="left" vertical="center"/>
    </xf>
    <xf numFmtId="0" fontId="18" fillId="7" borderId="0" xfId="0" applyFont="1" applyFill="1" applyAlignment="1">
      <alignment horizontal="left" vertical="center"/>
    </xf>
    <xf numFmtId="164" fontId="18" fillId="7" borderId="29" xfId="0" applyNumberFormat="1" applyFont="1" applyFill="1" applyBorder="1" applyAlignment="1">
      <alignment horizontal="left" vertical="center"/>
    </xf>
    <xf numFmtId="170" fontId="18" fillId="7" borderId="29" xfId="0" applyNumberFormat="1" applyFont="1" applyFill="1" applyBorder="1" applyAlignment="1">
      <alignment horizontal="left" vertical="center"/>
    </xf>
    <xf numFmtId="0" fontId="17" fillId="7" borderId="21" xfId="0" applyFont="1" applyFill="1" applyBorder="1" applyAlignment="1">
      <alignment vertical="center"/>
    </xf>
    <xf numFmtId="170" fontId="18" fillId="7" borderId="32" xfId="0" applyNumberFormat="1" applyFont="1" applyFill="1" applyBorder="1" applyAlignment="1">
      <alignment horizontal="left" vertical="center"/>
    </xf>
    <xf numFmtId="0" fontId="16" fillId="7" borderId="86" xfId="0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0" fontId="14" fillId="7" borderId="0" xfId="0" applyFont="1" applyFill="1" applyAlignment="1">
      <alignment vertical="center"/>
    </xf>
    <xf numFmtId="0" fontId="18" fillId="7" borderId="63" xfId="0" applyFont="1" applyFill="1" applyBorder="1" applyAlignment="1">
      <alignment vertical="center"/>
    </xf>
    <xf numFmtId="0" fontId="18" fillId="7" borderId="21" xfId="0" applyFont="1" applyFill="1" applyBorder="1" applyAlignment="1">
      <alignment vertical="center"/>
    </xf>
    <xf numFmtId="0" fontId="16" fillId="7" borderId="87" xfId="0" applyFont="1" applyFill="1" applyBorder="1" applyAlignment="1">
      <alignment vertical="center"/>
    </xf>
    <xf numFmtId="0" fontId="16" fillId="7" borderId="36" xfId="0" applyFont="1" applyFill="1" applyBorder="1" applyAlignment="1">
      <alignment vertical="center"/>
    </xf>
    <xf numFmtId="164" fontId="18" fillId="7" borderId="80" xfId="0" applyNumberFormat="1" applyFont="1" applyFill="1" applyBorder="1" applyAlignment="1">
      <alignment horizontal="left" vertical="center"/>
    </xf>
    <xf numFmtId="0" fontId="16" fillId="7" borderId="133" xfId="0" applyFont="1" applyFill="1" applyBorder="1" applyAlignment="1">
      <alignment vertical="center"/>
    </xf>
    <xf numFmtId="0" fontId="17" fillId="7" borderId="61" xfId="0" applyFont="1" applyFill="1" applyBorder="1" applyAlignment="1">
      <alignment vertical="center"/>
    </xf>
    <xf numFmtId="2" fontId="18" fillId="4" borderId="77" xfId="0" applyNumberFormat="1" applyFont="1" applyFill="1" applyBorder="1" applyAlignment="1" applyProtection="1">
      <alignment horizontal="center" vertical="center"/>
      <protection locked="0"/>
    </xf>
    <xf numFmtId="0" fontId="18" fillId="6" borderId="4" xfId="0" applyFont="1" applyFill="1" applyBorder="1" applyAlignment="1">
      <alignment vertical="center"/>
    </xf>
    <xf numFmtId="0" fontId="18" fillId="6" borderId="0" xfId="0" applyFont="1" applyFill="1" applyAlignment="1">
      <alignment vertical="center"/>
    </xf>
    <xf numFmtId="0" fontId="18" fillId="4" borderId="77" xfId="0" applyFont="1" applyFill="1" applyBorder="1" applyAlignment="1" applyProtection="1">
      <alignment horizontal="center" vertical="center"/>
      <protection locked="0"/>
    </xf>
    <xf numFmtId="1" fontId="18" fillId="6" borderId="0" xfId="0" applyNumberFormat="1" applyFont="1" applyFill="1" applyAlignment="1">
      <alignment horizontal="center" vertical="center"/>
    </xf>
    <xf numFmtId="0" fontId="16" fillId="5" borderId="136" xfId="0" applyFont="1" applyFill="1" applyBorder="1" applyAlignment="1">
      <alignment horizontal="center" vertical="center"/>
    </xf>
    <xf numFmtId="0" fontId="27" fillId="5" borderId="0" xfId="0" applyFont="1" applyFill="1"/>
    <xf numFmtId="166" fontId="18" fillId="6" borderId="137" xfId="0" applyNumberFormat="1" applyFont="1" applyFill="1" applyBorder="1" applyAlignment="1">
      <alignment horizontal="center" vertical="center"/>
    </xf>
    <xf numFmtId="172" fontId="66" fillId="5" borderId="114" xfId="0" applyNumberFormat="1" applyFont="1" applyFill="1" applyBorder="1" applyAlignment="1">
      <alignment horizontal="center" vertical="center"/>
    </xf>
    <xf numFmtId="172" fontId="66" fillId="5" borderId="124" xfId="0" applyNumberFormat="1" applyFont="1" applyFill="1" applyBorder="1" applyAlignment="1">
      <alignment horizontal="center" vertical="center"/>
    </xf>
    <xf numFmtId="1" fontId="17" fillId="6" borderId="112" xfId="0" applyNumberFormat="1" applyFont="1" applyFill="1" applyBorder="1" applyAlignment="1">
      <alignment horizontal="center" vertical="center"/>
    </xf>
    <xf numFmtId="0" fontId="22" fillId="6" borderId="112" xfId="0" applyFont="1" applyFill="1" applyBorder="1" applyAlignment="1">
      <alignment vertical="center"/>
    </xf>
    <xf numFmtId="0" fontId="17" fillId="0" borderId="36" xfId="0" applyFont="1" applyBorder="1" applyAlignment="1">
      <alignment vertical="center"/>
    </xf>
    <xf numFmtId="1" fontId="14" fillId="0" borderId="0" xfId="0" applyNumberFormat="1" applyFont="1" applyAlignment="1">
      <alignment horizontal="center"/>
    </xf>
    <xf numFmtId="4" fontId="14" fillId="0" borderId="0" xfId="0" applyNumberFormat="1" applyFont="1" applyAlignment="1">
      <alignment horizontal="left" vertical="center"/>
    </xf>
    <xf numFmtId="0" fontId="14" fillId="0" borderId="86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1" fontId="14" fillId="0" borderId="29" xfId="0" applyNumberFormat="1" applyFont="1" applyBorder="1" applyAlignment="1">
      <alignment horizontal="center"/>
    </xf>
    <xf numFmtId="0" fontId="14" fillId="0" borderId="29" xfId="0" applyFont="1" applyBorder="1" applyAlignment="1">
      <alignment horizontal="center"/>
    </xf>
    <xf numFmtId="3" fontId="14" fillId="0" borderId="29" xfId="0" applyNumberFormat="1" applyFont="1" applyBorder="1" applyAlignment="1">
      <alignment horizontal="center"/>
    </xf>
    <xf numFmtId="4" fontId="14" fillId="0" borderId="29" xfId="0" applyNumberFormat="1" applyFont="1" applyBorder="1" applyAlignment="1">
      <alignment horizontal="center"/>
    </xf>
    <xf numFmtId="0" fontId="14" fillId="0" borderId="87" xfId="0" applyFont="1" applyBorder="1"/>
    <xf numFmtId="0" fontId="14" fillId="0" borderId="80" xfId="0" applyFont="1" applyBorder="1"/>
    <xf numFmtId="0" fontId="37" fillId="0" borderId="23" xfId="0" applyFont="1" applyBorder="1" applyAlignment="1">
      <alignment horizontal="center" vertical="center"/>
    </xf>
    <xf numFmtId="0" fontId="37" fillId="4" borderId="23" xfId="0" applyFont="1" applyFill="1" applyBorder="1" applyAlignment="1">
      <alignment horizontal="center"/>
    </xf>
    <xf numFmtId="0" fontId="25" fillId="0" borderId="23" xfId="0" applyFont="1" applyBorder="1" applyAlignment="1">
      <alignment horizontal="center" vertical="center"/>
    </xf>
    <xf numFmtId="0" fontId="25" fillId="0" borderId="138" xfId="0" applyFont="1" applyBorder="1" applyAlignment="1">
      <alignment horizontal="center" vertical="center"/>
    </xf>
    <xf numFmtId="0" fontId="37" fillId="0" borderId="86" xfId="0" applyFont="1" applyBorder="1"/>
    <xf numFmtId="0" fontId="22" fillId="4" borderId="23" xfId="0" applyFont="1" applyFill="1" applyBorder="1" applyAlignment="1" applyProtection="1">
      <alignment horizontal="center" vertical="center"/>
      <protection locked="0"/>
    </xf>
    <xf numFmtId="14" fontId="22" fillId="4" borderId="23" xfId="0" applyNumberFormat="1" applyFont="1" applyFill="1" applyBorder="1" applyAlignment="1" applyProtection="1">
      <alignment horizontal="center" vertical="center"/>
      <protection locked="0"/>
    </xf>
    <xf numFmtId="3" fontId="22" fillId="4" borderId="23" xfId="0" applyNumberFormat="1" applyFont="1" applyFill="1" applyBorder="1" applyAlignment="1" applyProtection="1">
      <alignment horizontal="center" vertical="center"/>
      <protection locked="0"/>
    </xf>
    <xf numFmtId="0" fontId="18" fillId="4" borderId="23" xfId="0" applyFont="1" applyFill="1" applyBorder="1" applyAlignment="1" applyProtection="1">
      <alignment horizontal="center" vertical="center"/>
      <protection locked="0"/>
    </xf>
    <xf numFmtId="2" fontId="22" fillId="2" borderId="140" xfId="0" applyNumberFormat="1" applyFont="1" applyFill="1" applyBorder="1" applyAlignment="1">
      <alignment horizontal="center" vertical="center"/>
    </xf>
    <xf numFmtId="2" fontId="22" fillId="2" borderId="141" xfId="0" applyNumberFormat="1" applyFont="1" applyFill="1" applyBorder="1" applyAlignment="1">
      <alignment horizontal="center" vertical="center"/>
    </xf>
    <xf numFmtId="0" fontId="49" fillId="5" borderId="21" xfId="0" applyFont="1" applyFill="1" applyBorder="1" applyAlignment="1">
      <alignment horizontal="center" vertical="center"/>
    </xf>
    <xf numFmtId="1" fontId="22" fillId="2" borderId="140" xfId="0" applyNumberFormat="1" applyFont="1" applyFill="1" applyBorder="1" applyAlignment="1">
      <alignment horizontal="center" vertical="center"/>
    </xf>
    <xf numFmtId="1" fontId="22" fillId="2" borderId="141" xfId="0" applyNumberFormat="1" applyFont="1" applyFill="1" applyBorder="1" applyAlignment="1">
      <alignment horizontal="center" vertical="center"/>
    </xf>
    <xf numFmtId="20" fontId="14" fillId="0" borderId="0" xfId="0" applyNumberFormat="1" applyFont="1" applyAlignment="1">
      <alignment horizontal="center" vertical="center"/>
    </xf>
    <xf numFmtId="4" fontId="14" fillId="0" borderId="0" xfId="0" applyNumberFormat="1" applyFont="1" applyAlignment="1">
      <alignment horizontal="center"/>
    </xf>
    <xf numFmtId="168" fontId="22" fillId="0" borderId="0" xfId="0" applyNumberFormat="1" applyFont="1" applyAlignment="1">
      <alignment horizontal="left"/>
    </xf>
    <xf numFmtId="0" fontId="17" fillId="0" borderId="142" xfId="0" applyFont="1" applyBorder="1"/>
    <xf numFmtId="0" fontId="14" fillId="0" borderId="142" xfId="0" applyFont="1" applyBorder="1"/>
    <xf numFmtId="0" fontId="14" fillId="0" borderId="142" xfId="0" applyFont="1" applyBorder="1" applyAlignment="1">
      <alignment horizontal="left"/>
    </xf>
    <xf numFmtId="168" fontId="17" fillId="0" borderId="142" xfId="0" applyNumberFormat="1" applyFont="1" applyBorder="1" applyAlignment="1">
      <alignment horizontal="left"/>
    </xf>
    <xf numFmtId="0" fontId="17" fillId="0" borderId="142" xfId="0" applyFont="1" applyBorder="1" applyAlignment="1">
      <alignment horizontal="left"/>
    </xf>
    <xf numFmtId="0" fontId="14" fillId="0" borderId="86" xfId="0" applyFont="1" applyBorder="1" applyAlignment="1">
      <alignment horizontal="center"/>
    </xf>
    <xf numFmtId="0" fontId="14" fillId="0" borderId="87" xfId="0" applyFont="1" applyBorder="1" applyAlignment="1">
      <alignment horizontal="center"/>
    </xf>
    <xf numFmtId="0" fontId="14" fillId="0" borderId="80" xfId="0" applyFont="1" applyBorder="1" applyAlignment="1">
      <alignment horizontal="center"/>
    </xf>
    <xf numFmtId="0" fontId="14" fillId="0" borderId="143" xfId="0" applyFont="1" applyBorder="1"/>
    <xf numFmtId="0" fontId="14" fillId="0" borderId="144" xfId="0" applyFont="1" applyBorder="1"/>
    <xf numFmtId="2" fontId="14" fillId="0" borderId="144" xfId="0" applyNumberFormat="1" applyFont="1" applyBorder="1" applyAlignment="1">
      <alignment horizontal="center"/>
    </xf>
    <xf numFmtId="0" fontId="14" fillId="0" borderId="145" xfId="0" applyFont="1" applyBorder="1"/>
    <xf numFmtId="0" fontId="14" fillId="0" borderId="144" xfId="0" applyFont="1" applyBorder="1" applyAlignment="1">
      <alignment horizontal="center" vertical="center"/>
    </xf>
    <xf numFmtId="0" fontId="14" fillId="0" borderId="85" xfId="0" applyFont="1" applyBorder="1"/>
    <xf numFmtId="0" fontId="14" fillId="0" borderId="39" xfId="0" applyFont="1" applyBorder="1" applyAlignment="1">
      <alignment horizontal="center"/>
    </xf>
    <xf numFmtId="0" fontId="14" fillId="0" borderId="39" xfId="0" applyFont="1" applyBorder="1"/>
    <xf numFmtId="0" fontId="14" fillId="0" borderId="50" xfId="0" applyFont="1" applyBorder="1"/>
    <xf numFmtId="0" fontId="14" fillId="0" borderId="29" xfId="0" applyFont="1" applyBorder="1"/>
    <xf numFmtId="0" fontId="14" fillId="0" borderId="36" xfId="0" applyFont="1" applyBorder="1" applyAlignment="1">
      <alignment horizontal="center"/>
    </xf>
    <xf numFmtId="3" fontId="14" fillId="0" borderId="0" xfId="0" applyNumberFormat="1" applyFont="1" applyAlignment="1">
      <alignment horizontal="center"/>
    </xf>
    <xf numFmtId="172" fontId="66" fillId="5" borderId="139" xfId="0" applyNumberFormat="1" applyFont="1" applyFill="1" applyBorder="1" applyAlignment="1">
      <alignment horizontal="center" vertical="center"/>
    </xf>
    <xf numFmtId="172" fontId="66" fillId="5" borderId="130" xfId="0" applyNumberFormat="1" applyFont="1" applyFill="1" applyBorder="1" applyAlignment="1">
      <alignment horizontal="center" vertical="center"/>
    </xf>
    <xf numFmtId="0" fontId="21" fillId="7" borderId="148" xfId="0" applyFont="1" applyFill="1" applyBorder="1" applyAlignment="1">
      <alignment vertical="center"/>
    </xf>
    <xf numFmtId="1" fontId="21" fillId="7" borderId="113" xfId="0" applyNumberFormat="1" applyFont="1" applyFill="1" applyBorder="1" applyAlignment="1">
      <alignment horizontal="center" vertical="center"/>
    </xf>
    <xf numFmtId="0" fontId="16" fillId="7" borderId="77" xfId="0" applyFont="1" applyFill="1" applyBorder="1" applyAlignment="1">
      <alignment horizontal="center" vertical="center"/>
    </xf>
    <xf numFmtId="1" fontId="18" fillId="7" borderId="77" xfId="0" applyNumberFormat="1" applyFont="1" applyFill="1" applyBorder="1" applyAlignment="1">
      <alignment horizontal="center" vertical="center"/>
    </xf>
    <xf numFmtId="0" fontId="17" fillId="6" borderId="114" xfId="0" applyFont="1" applyFill="1" applyBorder="1" applyAlignment="1">
      <alignment vertical="center"/>
    </xf>
    <xf numFmtId="2" fontId="18" fillId="7" borderId="77" xfId="0" applyNumberFormat="1" applyFont="1" applyFill="1" applyBorder="1" applyAlignment="1">
      <alignment horizontal="center" vertical="center"/>
    </xf>
    <xf numFmtId="2" fontId="18" fillId="7" borderId="114" xfId="0" applyNumberFormat="1" applyFont="1" applyFill="1" applyBorder="1" applyAlignment="1">
      <alignment horizontal="center" vertical="center"/>
    </xf>
    <xf numFmtId="1" fontId="18" fillId="7" borderId="114" xfId="0" applyNumberFormat="1" applyFont="1" applyFill="1" applyBorder="1" applyAlignment="1">
      <alignment horizontal="center" vertical="center"/>
    </xf>
    <xf numFmtId="0" fontId="18" fillId="6" borderId="112" xfId="0" applyFont="1" applyFill="1" applyBorder="1" applyAlignment="1">
      <alignment horizontal="center" vertical="center"/>
    </xf>
    <xf numFmtId="0" fontId="47" fillId="5" borderId="0" xfId="0" applyFont="1" applyFill="1" applyAlignment="1">
      <alignment horizontal="center" vertical="center"/>
    </xf>
    <xf numFmtId="0" fontId="17" fillId="0" borderId="0" xfId="0" applyFont="1" applyAlignment="1">
      <alignment horizontal="left" vertical="center"/>
    </xf>
    <xf numFmtId="2" fontId="66" fillId="5" borderId="114" xfId="0" applyNumberFormat="1" applyFont="1" applyFill="1" applyBorder="1" applyAlignment="1">
      <alignment horizontal="center" vertical="center"/>
    </xf>
    <xf numFmtId="2" fontId="66" fillId="5" borderId="124" xfId="0" applyNumberFormat="1" applyFont="1" applyFill="1" applyBorder="1" applyAlignment="1">
      <alignment horizontal="center" vertical="center"/>
    </xf>
    <xf numFmtId="172" fontId="66" fillId="5" borderId="149" xfId="0" applyNumberFormat="1" applyFont="1" applyFill="1" applyBorder="1" applyAlignment="1">
      <alignment horizontal="center" vertical="center"/>
    </xf>
    <xf numFmtId="0" fontId="17" fillId="6" borderId="77" xfId="0" applyFont="1" applyFill="1" applyBorder="1" applyAlignment="1">
      <alignment vertical="center"/>
    </xf>
    <xf numFmtId="167" fontId="21" fillId="0" borderId="5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67" fontId="36" fillId="0" borderId="5" xfId="0" applyNumberFormat="1" applyFont="1" applyBorder="1" applyAlignment="1" applyProtection="1">
      <alignment horizontal="center" vertical="center"/>
      <protection locked="0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8" fillId="7" borderId="150" xfId="0" applyFont="1" applyFill="1" applyBorder="1" applyAlignment="1">
      <alignment horizontal="center" vertical="center"/>
    </xf>
    <xf numFmtId="0" fontId="18" fillId="7" borderId="107" xfId="0" applyFont="1" applyFill="1" applyBorder="1" applyAlignment="1">
      <alignment horizontal="center" vertical="center"/>
    </xf>
    <xf numFmtId="0" fontId="17" fillId="6" borderId="107" xfId="0" applyFont="1" applyFill="1" applyBorder="1" applyAlignment="1">
      <alignment vertical="center"/>
    </xf>
    <xf numFmtId="0" fontId="17" fillId="6" borderId="151" xfId="0" applyFont="1" applyFill="1" applyBorder="1" applyAlignment="1">
      <alignment vertical="center"/>
    </xf>
    <xf numFmtId="0" fontId="17" fillId="0" borderId="39" xfId="0" applyFont="1" applyBorder="1" applyAlignment="1">
      <alignment vertical="center"/>
    </xf>
    <xf numFmtId="168" fontId="17" fillId="0" borderId="0" xfId="0" applyNumberFormat="1" applyFont="1" applyAlignment="1">
      <alignment horizontal="center"/>
    </xf>
    <xf numFmtId="0" fontId="17" fillId="4" borderId="124" xfId="0" applyFont="1" applyFill="1" applyBorder="1" applyAlignment="1" applyProtection="1">
      <alignment horizontal="center" vertical="center"/>
      <protection locked="0"/>
    </xf>
    <xf numFmtId="2" fontId="17" fillId="0" borderId="23" xfId="0" applyNumberFormat="1" applyFont="1" applyBorder="1" applyAlignment="1">
      <alignment horizontal="center" vertical="center"/>
    </xf>
    <xf numFmtId="0" fontId="68" fillId="5" borderId="0" xfId="1" applyFont="1" applyFill="1" applyAlignment="1">
      <alignment vertical="center"/>
    </xf>
    <xf numFmtId="0" fontId="16" fillId="5" borderId="0" xfId="0" applyFont="1" applyFill="1"/>
    <xf numFmtId="0" fontId="14" fillId="4" borderId="22" xfId="0" applyFont="1" applyFill="1" applyBorder="1" applyAlignment="1">
      <alignment horizontal="center"/>
    </xf>
    <xf numFmtId="0" fontId="14" fillId="4" borderId="109" xfId="0" applyFont="1" applyFill="1" applyBorder="1" applyAlignment="1">
      <alignment horizontal="center"/>
    </xf>
    <xf numFmtId="0" fontId="14" fillId="4" borderId="23" xfId="0" applyFont="1" applyFill="1" applyBorder="1" applyAlignment="1">
      <alignment horizontal="center"/>
    </xf>
    <xf numFmtId="0" fontId="37" fillId="0" borderId="96" xfId="0" applyFont="1" applyBorder="1" applyAlignment="1">
      <alignment horizontal="left"/>
    </xf>
    <xf numFmtId="0" fontId="37" fillId="0" borderId="133" xfId="0" applyFont="1" applyBorder="1" applyAlignment="1">
      <alignment horizontal="left"/>
    </xf>
    <xf numFmtId="0" fontId="37" fillId="0" borderId="93" xfId="0" applyFont="1" applyBorder="1" applyAlignment="1">
      <alignment horizontal="left"/>
    </xf>
    <xf numFmtId="0" fontId="37" fillId="0" borderId="94" xfId="0" applyFont="1" applyBorder="1" applyAlignment="1">
      <alignment horizontal="left"/>
    </xf>
    <xf numFmtId="0" fontId="37" fillId="0" borderId="76" xfId="0" applyFont="1" applyBorder="1" applyAlignment="1">
      <alignment horizontal="left"/>
    </xf>
    <xf numFmtId="0" fontId="37" fillId="0" borderId="99" xfId="0" applyFont="1" applyBorder="1" applyAlignment="1">
      <alignment horizontal="left"/>
    </xf>
    <xf numFmtId="2" fontId="14" fillId="0" borderId="152" xfId="0" applyNumberFormat="1" applyFont="1" applyBorder="1" applyAlignment="1">
      <alignment horizontal="center" vertical="center"/>
    </xf>
    <xf numFmtId="2" fontId="14" fillId="0" borderId="153" xfId="0" applyNumberFormat="1" applyFont="1" applyBorder="1" applyAlignment="1">
      <alignment horizontal="center" vertical="center"/>
    </xf>
    <xf numFmtId="2" fontId="14" fillId="0" borderId="154" xfId="0" applyNumberFormat="1" applyFont="1" applyBorder="1" applyAlignment="1">
      <alignment horizontal="center" vertical="center"/>
    </xf>
    <xf numFmtId="2" fontId="14" fillId="0" borderId="155" xfId="0" applyNumberFormat="1" applyFont="1" applyBorder="1" applyAlignment="1">
      <alignment horizontal="center" vertical="center"/>
    </xf>
    <xf numFmtId="2" fontId="14" fillId="0" borderId="156" xfId="0" applyNumberFormat="1" applyFont="1" applyBorder="1" applyAlignment="1">
      <alignment horizontal="center" vertical="center"/>
    </xf>
    <xf numFmtId="0" fontId="12" fillId="0" borderId="33" xfId="0" applyFont="1" applyBorder="1" applyAlignment="1" applyProtection="1">
      <alignment horizontal="left" vertical="center" wrapText="1"/>
      <protection locked="0"/>
    </xf>
    <xf numFmtId="0" fontId="12" fillId="0" borderId="57" xfId="0" applyFont="1" applyBorder="1" applyAlignment="1" applyProtection="1">
      <alignment horizontal="left" vertical="center" wrapText="1"/>
      <protection locked="0"/>
    </xf>
    <xf numFmtId="0" fontId="6" fillId="0" borderId="33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14" fontId="7" fillId="0" borderId="0" xfId="0" applyNumberFormat="1" applyFont="1" applyAlignment="1">
      <alignment horizontal="left" vertical="center"/>
    </xf>
    <xf numFmtId="0" fontId="6" fillId="0" borderId="54" xfId="0" applyFont="1" applyBorder="1" applyAlignment="1">
      <alignment horizontal="right" vertical="center" wrapText="1"/>
    </xf>
    <xf numFmtId="0" fontId="6" fillId="0" borderId="56" xfId="0" applyFont="1" applyBorder="1" applyAlignment="1">
      <alignment horizontal="right" vertical="center" wrapText="1"/>
    </xf>
    <xf numFmtId="0" fontId="6" fillId="0" borderId="55" xfId="0" applyFont="1" applyBorder="1" applyAlignment="1">
      <alignment horizontal="right" vertical="center" wrapText="1"/>
    </xf>
    <xf numFmtId="0" fontId="7" fillId="0" borderId="54" xfId="0" applyFont="1" applyBorder="1" applyAlignment="1">
      <alignment horizontal="center" vertical="top" wrapText="1"/>
    </xf>
    <xf numFmtId="0" fontId="7" fillId="0" borderId="60" xfId="0" applyFont="1" applyBorder="1" applyAlignment="1">
      <alignment horizontal="center" vertical="top" wrapText="1"/>
    </xf>
    <xf numFmtId="0" fontId="6" fillId="0" borderId="41" xfId="0" applyFont="1" applyBorder="1" applyAlignment="1">
      <alignment horizontal="center" vertical="center" wrapText="1"/>
    </xf>
    <xf numFmtId="0" fontId="6" fillId="0" borderId="58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59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left" vertical="center" wrapText="1"/>
    </xf>
    <xf numFmtId="0" fontId="12" fillId="0" borderId="57" xfId="0" applyFont="1" applyBorder="1" applyAlignment="1">
      <alignment horizontal="left" vertical="center" wrapText="1"/>
    </xf>
    <xf numFmtId="0" fontId="6" fillId="0" borderId="57" xfId="0" applyFont="1" applyBorder="1" applyAlignment="1">
      <alignment horizontal="center" vertical="center" wrapText="1"/>
    </xf>
    <xf numFmtId="0" fontId="0" fillId="0" borderId="41" xfId="0" applyBorder="1" applyAlignment="1">
      <alignment horizontal="left" vertical="top" wrapText="1"/>
    </xf>
    <xf numFmtId="0" fontId="0" fillId="0" borderId="42" xfId="0" applyBorder="1" applyAlignment="1">
      <alignment horizontal="left" vertical="top" wrapText="1"/>
    </xf>
    <xf numFmtId="0" fontId="0" fillId="0" borderId="4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29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8" fillId="0" borderId="34" xfId="0" applyFont="1" applyBorder="1" applyAlignment="1">
      <alignment horizontal="left" vertical="center" wrapText="1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8" fillId="0" borderId="37" xfId="0" applyFont="1" applyBorder="1" applyAlignment="1" applyProtection="1">
      <alignment horizontal="left" vertical="center" wrapText="1"/>
      <protection locked="0"/>
    </xf>
    <xf numFmtId="0" fontId="22" fillId="6" borderId="128" xfId="0" applyFont="1" applyFill="1" applyBorder="1" applyAlignment="1">
      <alignment horizontal="center" vertical="center"/>
    </xf>
    <xf numFmtId="0" fontId="22" fillId="6" borderId="95" xfId="0" applyFont="1" applyFill="1" applyBorder="1" applyAlignment="1">
      <alignment horizontal="center" vertical="center"/>
    </xf>
    <xf numFmtId="0" fontId="63" fillId="5" borderId="21" xfId="0" applyFont="1" applyFill="1" applyBorder="1" applyAlignment="1">
      <alignment horizontal="left" vertical="center"/>
    </xf>
    <xf numFmtId="0" fontId="22" fillId="6" borderId="22" xfId="0" applyFont="1" applyFill="1" applyBorder="1" applyAlignment="1">
      <alignment horizontal="center" vertical="center"/>
    </xf>
    <xf numFmtId="0" fontId="22" fillId="6" borderId="24" xfId="0" applyFont="1" applyFill="1" applyBorder="1" applyAlignment="1">
      <alignment horizontal="center" vertical="center"/>
    </xf>
    <xf numFmtId="0" fontId="22" fillId="4" borderId="22" xfId="0" applyFont="1" applyFill="1" applyBorder="1" applyAlignment="1" applyProtection="1">
      <alignment horizontal="center" vertical="center"/>
      <protection locked="0"/>
    </xf>
    <xf numFmtId="0" fontId="22" fillId="4" borderId="24" xfId="0" applyFont="1" applyFill="1" applyBorder="1" applyAlignment="1" applyProtection="1">
      <alignment horizontal="center" vertical="center"/>
      <protection locked="0"/>
    </xf>
    <xf numFmtId="0" fontId="66" fillId="5" borderId="96" xfId="0" applyFont="1" applyFill="1" applyBorder="1" applyAlignment="1">
      <alignment horizontal="center" vertical="center"/>
    </xf>
    <xf numFmtId="0" fontId="66" fillId="5" borderId="25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 vertical="center"/>
    </xf>
    <xf numFmtId="0" fontId="21" fillId="5" borderId="29" xfId="0" applyFont="1" applyFill="1" applyBorder="1" applyAlignment="1">
      <alignment horizontal="center" vertical="center"/>
    </xf>
    <xf numFmtId="0" fontId="18" fillId="5" borderId="96" xfId="0" applyFont="1" applyFill="1" applyBorder="1" applyAlignment="1">
      <alignment horizontal="center" vertical="center"/>
    </xf>
    <xf numFmtId="0" fontId="18" fillId="5" borderId="25" xfId="0" applyFont="1" applyFill="1" applyBorder="1" applyAlignment="1">
      <alignment horizontal="center" vertical="center"/>
    </xf>
    <xf numFmtId="0" fontId="21" fillId="5" borderId="126" xfId="0" applyFont="1" applyFill="1" applyBorder="1" applyAlignment="1">
      <alignment horizontal="center" vertical="center"/>
    </xf>
    <xf numFmtId="0" fontId="21" fillId="5" borderId="125" xfId="0" applyFont="1" applyFill="1" applyBorder="1" applyAlignment="1">
      <alignment horizontal="center" vertical="center"/>
    </xf>
    <xf numFmtId="0" fontId="18" fillId="5" borderId="133" xfId="0" applyFont="1" applyFill="1" applyBorder="1" applyAlignment="1">
      <alignment horizontal="center" vertical="center"/>
    </xf>
    <xf numFmtId="0" fontId="18" fillId="5" borderId="135" xfId="0" applyFont="1" applyFill="1" applyBorder="1" applyAlignment="1">
      <alignment horizontal="center" vertical="center"/>
    </xf>
    <xf numFmtId="0" fontId="66" fillId="6" borderId="85" xfId="0" applyFont="1" applyFill="1" applyBorder="1" applyAlignment="1">
      <alignment horizontal="center" vertical="center"/>
    </xf>
    <xf numFmtId="0" fontId="66" fillId="6" borderId="39" xfId="0" applyFont="1" applyFill="1" applyBorder="1" applyAlignment="1">
      <alignment horizontal="center" vertical="center"/>
    </xf>
    <xf numFmtId="0" fontId="66" fillId="6" borderId="50" xfId="0" applyFont="1" applyFill="1" applyBorder="1" applyAlignment="1">
      <alignment horizontal="center" vertical="center"/>
    </xf>
    <xf numFmtId="0" fontId="66" fillId="6" borderId="63" xfId="0" applyFont="1" applyFill="1" applyBorder="1" applyAlignment="1">
      <alignment horizontal="center" vertical="center"/>
    </xf>
    <xf numFmtId="0" fontId="66" fillId="6" borderId="21" xfId="0" applyFont="1" applyFill="1" applyBorder="1" applyAlignment="1">
      <alignment horizontal="center" vertical="center"/>
    </xf>
    <xf numFmtId="0" fontId="66" fillId="6" borderId="32" xfId="0" applyFont="1" applyFill="1" applyBorder="1" applyAlignment="1">
      <alignment horizontal="center" vertical="center"/>
    </xf>
    <xf numFmtId="0" fontId="54" fillId="0" borderId="0" xfId="0" applyFont="1" applyAlignment="1">
      <alignment horizontal="center" wrapText="1"/>
    </xf>
    <xf numFmtId="0" fontId="14" fillId="2" borderId="88" xfId="0" applyFont="1" applyFill="1" applyBorder="1" applyAlignment="1">
      <alignment horizontal="center" vertical="center" wrapText="1"/>
    </xf>
    <xf numFmtId="0" fontId="14" fillId="2" borderId="89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3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0" fontId="17" fillId="4" borderId="9" xfId="0" applyFont="1" applyFill="1" applyBorder="1" applyAlignment="1">
      <alignment horizontal="center" vertical="center" wrapText="1"/>
    </xf>
    <xf numFmtId="0" fontId="17" fillId="4" borderId="10" xfId="0" applyFont="1" applyFill="1" applyBorder="1" applyAlignment="1">
      <alignment horizontal="center" vertical="center" wrapText="1"/>
    </xf>
    <xf numFmtId="0" fontId="17" fillId="4" borderId="13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/>
    </xf>
    <xf numFmtId="0" fontId="17" fillId="4" borderId="3" xfId="0" applyFont="1" applyFill="1" applyBorder="1" applyAlignment="1">
      <alignment horizontal="center" vertical="center"/>
    </xf>
    <xf numFmtId="0" fontId="17" fillId="4" borderId="11" xfId="0" applyFont="1" applyFill="1" applyBorder="1" applyAlignment="1">
      <alignment horizontal="center" vertical="center"/>
    </xf>
    <xf numFmtId="0" fontId="17" fillId="4" borderId="12" xfId="0" applyFont="1" applyFill="1" applyBorder="1" applyAlignment="1">
      <alignment horizontal="center" vertical="center"/>
    </xf>
    <xf numFmtId="0" fontId="55" fillId="0" borderId="21" xfId="0" applyFont="1" applyBorder="1" applyAlignment="1">
      <alignment horizontal="center" vertical="center"/>
    </xf>
    <xf numFmtId="0" fontId="17" fillId="4" borderId="9" xfId="0" applyFont="1" applyFill="1" applyBorder="1" applyAlignment="1">
      <alignment horizontal="center" vertical="center"/>
    </xf>
    <xf numFmtId="0" fontId="17" fillId="4" borderId="10" xfId="0" applyFont="1" applyFill="1" applyBorder="1" applyAlignment="1">
      <alignment horizontal="center" vertical="center"/>
    </xf>
    <xf numFmtId="0" fontId="17" fillId="4" borderId="13" xfId="0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horizontal="center" vertical="center"/>
    </xf>
    <xf numFmtId="0" fontId="28" fillId="4" borderId="2" xfId="0" applyFont="1" applyFill="1" applyBorder="1" applyAlignment="1">
      <alignment horizontal="center" vertical="center"/>
    </xf>
    <xf numFmtId="0" fontId="28" fillId="4" borderId="3" xfId="0" applyFont="1" applyFill="1" applyBorder="1" applyAlignment="1">
      <alignment horizontal="center" vertical="center"/>
    </xf>
    <xf numFmtId="0" fontId="28" fillId="4" borderId="4" xfId="0" applyFont="1" applyFill="1" applyBorder="1" applyAlignment="1">
      <alignment horizontal="center" vertical="center"/>
    </xf>
    <xf numFmtId="0" fontId="28" fillId="4" borderId="0" xfId="0" applyFont="1" applyFill="1" applyAlignment="1">
      <alignment horizontal="center" vertical="center"/>
    </xf>
    <xf numFmtId="0" fontId="28" fillId="4" borderId="5" xfId="0" applyFont="1" applyFill="1" applyBorder="1" applyAlignment="1">
      <alignment horizontal="center" vertical="center"/>
    </xf>
    <xf numFmtId="0" fontId="21" fillId="2" borderId="70" xfId="0" applyFont="1" applyFill="1" applyBorder="1" applyAlignment="1">
      <alignment horizontal="center" vertical="center"/>
    </xf>
    <xf numFmtId="0" fontId="21" fillId="2" borderId="61" xfId="0" applyFont="1" applyFill="1" applyBorder="1" applyAlignment="1">
      <alignment horizontal="center" vertical="center"/>
    </xf>
    <xf numFmtId="0" fontId="17" fillId="2" borderId="81" xfId="0" applyFont="1" applyFill="1" applyBorder="1" applyAlignment="1">
      <alignment horizontal="center" vertical="center"/>
    </xf>
    <xf numFmtId="0" fontId="17" fillId="2" borderId="82" xfId="0" applyFont="1" applyFill="1" applyBorder="1" applyAlignment="1">
      <alignment horizontal="center" vertical="center"/>
    </xf>
    <xf numFmtId="1" fontId="17" fillId="6" borderId="84" xfId="0" applyNumberFormat="1" applyFont="1" applyFill="1" applyBorder="1" applyAlignment="1">
      <alignment horizontal="center" vertical="center"/>
    </xf>
    <xf numFmtId="1" fontId="17" fillId="6" borderId="91" xfId="0" applyNumberFormat="1" applyFont="1" applyFill="1" applyBorder="1" applyAlignment="1">
      <alignment horizontal="center" vertical="center"/>
    </xf>
    <xf numFmtId="0" fontId="17" fillId="2" borderId="90" xfId="0" applyFont="1" applyFill="1" applyBorder="1" applyAlignment="1">
      <alignment horizontal="center" vertical="center"/>
    </xf>
    <xf numFmtId="0" fontId="21" fillId="2" borderId="62" xfId="0" applyFont="1" applyFill="1" applyBorder="1" applyAlignment="1">
      <alignment horizontal="center" vertical="center"/>
    </xf>
    <xf numFmtId="2" fontId="17" fillId="6" borderId="16" xfId="0" applyNumberFormat="1" applyFont="1" applyFill="1" applyBorder="1" applyAlignment="1">
      <alignment horizontal="center" vertical="center"/>
    </xf>
    <xf numFmtId="2" fontId="17" fillId="6" borderId="84" xfId="0" applyNumberFormat="1" applyFont="1" applyFill="1" applyBorder="1" applyAlignment="1">
      <alignment horizontal="center" vertical="center"/>
    </xf>
    <xf numFmtId="0" fontId="65" fillId="0" borderId="122" xfId="0" applyFont="1" applyBorder="1" applyAlignment="1">
      <alignment horizontal="center" vertical="center"/>
    </xf>
    <xf numFmtId="0" fontId="65" fillId="0" borderId="21" xfId="0" applyFont="1" applyBorder="1" applyAlignment="1">
      <alignment horizontal="center" vertical="center"/>
    </xf>
    <xf numFmtId="0" fontId="65" fillId="0" borderId="64" xfId="0" applyFont="1" applyBorder="1" applyAlignment="1">
      <alignment horizontal="center" vertical="center"/>
    </xf>
    <xf numFmtId="165" fontId="65" fillId="0" borderId="4" xfId="0" applyNumberFormat="1" applyFont="1" applyBorder="1" applyAlignment="1">
      <alignment horizontal="center" vertical="center"/>
    </xf>
    <xf numFmtId="165" fontId="65" fillId="0" borderId="0" xfId="0" applyNumberFormat="1" applyFont="1" applyAlignment="1">
      <alignment horizontal="center" vertical="center"/>
    </xf>
    <xf numFmtId="2" fontId="17" fillId="0" borderId="16" xfId="0" applyNumberFormat="1" applyFont="1" applyBorder="1" applyAlignment="1">
      <alignment horizontal="center" vertical="center"/>
    </xf>
    <xf numFmtId="2" fontId="17" fillId="0" borderId="84" xfId="0" applyNumberFormat="1" applyFont="1" applyBorder="1" applyAlignment="1">
      <alignment horizontal="center" vertical="center"/>
    </xf>
    <xf numFmtId="2" fontId="17" fillId="6" borderId="91" xfId="0" applyNumberFormat="1" applyFont="1" applyFill="1" applyBorder="1" applyAlignment="1">
      <alignment horizontal="center" vertical="center"/>
    </xf>
    <xf numFmtId="164" fontId="18" fillId="6" borderId="21" xfId="0" applyNumberFormat="1" applyFont="1" applyFill="1" applyBorder="1" applyAlignment="1">
      <alignment horizontal="center" vertical="center"/>
    </xf>
    <xf numFmtId="2" fontId="65" fillId="0" borderId="7" xfId="0" applyNumberFormat="1" applyFont="1" applyBorder="1" applyAlignment="1">
      <alignment horizontal="center" vertical="center"/>
    </xf>
    <xf numFmtId="0" fontId="65" fillId="0" borderId="7" xfId="0" applyFont="1" applyBorder="1" applyAlignment="1">
      <alignment horizontal="center" vertical="center"/>
    </xf>
    <xf numFmtId="0" fontId="65" fillId="0" borderId="8" xfId="0" applyFont="1" applyBorder="1" applyAlignment="1">
      <alignment horizontal="center" vertical="center"/>
    </xf>
    <xf numFmtId="0" fontId="66" fillId="5" borderId="85" xfId="0" applyFont="1" applyFill="1" applyBorder="1" applyAlignment="1">
      <alignment horizontal="center" vertical="center"/>
    </xf>
    <xf numFmtId="0" fontId="66" fillId="5" borderId="147" xfId="0" applyFont="1" applyFill="1" applyBorder="1" applyAlignment="1">
      <alignment horizontal="center" vertical="center"/>
    </xf>
    <xf numFmtId="0" fontId="66" fillId="5" borderId="87" xfId="0" applyFont="1" applyFill="1" applyBorder="1" applyAlignment="1">
      <alignment horizontal="center" vertical="center"/>
    </xf>
    <xf numFmtId="0" fontId="66" fillId="5" borderId="146" xfId="0" applyFont="1" applyFill="1" applyBorder="1" applyAlignment="1">
      <alignment horizontal="center" vertical="center"/>
    </xf>
    <xf numFmtId="0" fontId="21" fillId="7" borderId="12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left" vertical="center"/>
    </xf>
    <xf numFmtId="0" fontId="18" fillId="6" borderId="0" xfId="0" applyFont="1" applyFill="1" applyAlignment="1">
      <alignment horizontal="left" vertical="center"/>
    </xf>
    <xf numFmtId="0" fontId="18" fillId="6" borderId="106" xfId="0" applyFont="1" applyFill="1" applyBorder="1" applyAlignment="1">
      <alignment horizontal="left" vertical="center"/>
    </xf>
    <xf numFmtId="0" fontId="18" fillId="6" borderId="85" xfId="0" applyFont="1" applyFill="1" applyBorder="1" applyAlignment="1">
      <alignment horizontal="center" vertical="center"/>
    </xf>
    <xf numFmtId="0" fontId="18" fillId="6" borderId="39" xfId="0" applyFont="1" applyFill="1" applyBorder="1" applyAlignment="1">
      <alignment horizontal="center" vertical="center"/>
    </xf>
    <xf numFmtId="0" fontId="18" fillId="6" borderId="50" xfId="0" applyFont="1" applyFill="1" applyBorder="1" applyAlignment="1">
      <alignment horizontal="center" vertical="center"/>
    </xf>
    <xf numFmtId="0" fontId="18" fillId="6" borderId="63" xfId="0" applyFont="1" applyFill="1" applyBorder="1" applyAlignment="1">
      <alignment horizontal="center" vertical="center"/>
    </xf>
    <xf numFmtId="0" fontId="18" fillId="6" borderId="21" xfId="0" applyFont="1" applyFill="1" applyBorder="1" applyAlignment="1">
      <alignment horizontal="center" vertical="center"/>
    </xf>
    <xf numFmtId="0" fontId="18" fillId="6" borderId="32" xfId="0" applyFont="1" applyFill="1" applyBorder="1" applyAlignment="1">
      <alignment horizontal="center" vertical="center"/>
    </xf>
    <xf numFmtId="0" fontId="18" fillId="6" borderId="131" xfId="0" applyFont="1" applyFill="1" applyBorder="1" applyAlignment="1">
      <alignment horizontal="center" vertical="center"/>
    </xf>
    <xf numFmtId="0" fontId="18" fillId="6" borderId="61" xfId="0" applyFont="1" applyFill="1" applyBorder="1" applyAlignment="1">
      <alignment horizontal="center" vertical="center"/>
    </xf>
    <xf numFmtId="0" fontId="18" fillId="6" borderId="132" xfId="0" applyFont="1" applyFill="1" applyBorder="1" applyAlignment="1">
      <alignment horizontal="center" vertical="center"/>
    </xf>
    <xf numFmtId="0" fontId="66" fillId="5" borderId="133" xfId="0" applyFont="1" applyFill="1" applyBorder="1" applyAlignment="1">
      <alignment horizontal="center" vertical="center"/>
    </xf>
    <xf numFmtId="0" fontId="66" fillId="5" borderId="135" xfId="0" applyFont="1" applyFill="1" applyBorder="1" applyAlignment="1">
      <alignment horizontal="center" vertical="center"/>
    </xf>
    <xf numFmtId="2" fontId="17" fillId="6" borderId="72" xfId="0" applyNumberFormat="1" applyFont="1" applyFill="1" applyBorder="1" applyAlignment="1">
      <alignment horizontal="center" vertical="center"/>
    </xf>
    <xf numFmtId="2" fontId="17" fillId="6" borderId="65" xfId="0" applyNumberFormat="1" applyFont="1" applyFill="1" applyBorder="1" applyAlignment="1">
      <alignment horizontal="center" vertical="center"/>
    </xf>
    <xf numFmtId="2" fontId="17" fillId="6" borderId="26" xfId="0" applyNumberFormat="1" applyFont="1" applyFill="1" applyBorder="1" applyAlignment="1">
      <alignment horizontal="center" vertical="center"/>
    </xf>
    <xf numFmtId="170" fontId="66" fillId="5" borderId="96" xfId="0" applyNumberFormat="1" applyFont="1" applyFill="1" applyBorder="1" applyAlignment="1">
      <alignment horizontal="left" vertical="center"/>
    </xf>
    <xf numFmtId="170" fontId="66" fillId="5" borderId="76" xfId="0" applyNumberFormat="1" applyFont="1" applyFill="1" applyBorder="1" applyAlignment="1">
      <alignment horizontal="left" vertical="center"/>
    </xf>
    <xf numFmtId="170" fontId="66" fillId="5" borderId="87" xfId="0" applyNumberFormat="1" applyFont="1" applyFill="1" applyBorder="1" applyAlignment="1">
      <alignment horizontal="left" vertical="center"/>
    </xf>
    <xf numFmtId="170" fontId="66" fillId="5" borderId="36" xfId="0" applyNumberFormat="1" applyFont="1" applyFill="1" applyBorder="1" applyAlignment="1">
      <alignment horizontal="left" vertical="center"/>
    </xf>
    <xf numFmtId="170" fontId="66" fillId="5" borderId="133" xfId="0" applyNumberFormat="1" applyFont="1" applyFill="1" applyBorder="1" applyAlignment="1">
      <alignment horizontal="center" vertical="center"/>
    </xf>
    <xf numFmtId="170" fontId="66" fillId="5" borderId="99" xfId="0" applyNumberFormat="1" applyFont="1" applyFill="1" applyBorder="1" applyAlignment="1">
      <alignment horizontal="center" vertical="center"/>
    </xf>
    <xf numFmtId="170" fontId="66" fillId="5" borderId="118" xfId="0" applyNumberFormat="1" applyFont="1" applyFill="1" applyBorder="1" applyAlignment="1">
      <alignment horizontal="center" vertical="center"/>
    </xf>
    <xf numFmtId="0" fontId="66" fillId="5" borderId="86" xfId="0" applyFont="1" applyFill="1" applyBorder="1" applyAlignment="1">
      <alignment horizontal="center" vertical="center"/>
    </xf>
    <xf numFmtId="0" fontId="66" fillId="5" borderId="106" xfId="0" applyFont="1" applyFill="1" applyBorder="1" applyAlignment="1">
      <alignment horizontal="center" vertical="center"/>
    </xf>
    <xf numFmtId="0" fontId="18" fillId="6" borderId="23" xfId="0" applyFont="1" applyFill="1" applyBorder="1" applyAlignment="1">
      <alignment horizontal="center" vertical="center"/>
    </xf>
    <xf numFmtId="171" fontId="65" fillId="0" borderId="4" xfId="0" applyNumberFormat="1" applyFont="1" applyBorder="1" applyAlignment="1">
      <alignment horizontal="center" vertical="center"/>
    </xf>
    <xf numFmtId="171" fontId="65" fillId="0" borderId="0" xfId="0" applyNumberFormat="1" applyFont="1" applyAlignment="1">
      <alignment horizontal="center" vertical="center"/>
    </xf>
    <xf numFmtId="173" fontId="37" fillId="0" borderId="0" xfId="0" applyNumberFormat="1" applyFont="1" applyAlignment="1">
      <alignment horizontal="center"/>
    </xf>
    <xf numFmtId="173" fontId="37" fillId="0" borderId="85" xfId="0" applyNumberFormat="1" applyFont="1" applyBorder="1" applyAlignment="1">
      <alignment horizontal="center"/>
    </xf>
    <xf numFmtId="173" fontId="37" fillId="0" borderId="39" xfId="0" applyNumberFormat="1" applyFont="1" applyBorder="1" applyAlignment="1">
      <alignment horizontal="center"/>
    </xf>
    <xf numFmtId="173" fontId="37" fillId="0" borderId="50" xfId="0" applyNumberFormat="1" applyFont="1" applyBorder="1" applyAlignment="1">
      <alignment horizontal="center"/>
    </xf>
    <xf numFmtId="0" fontId="14" fillId="4" borderId="22" xfId="0" applyFont="1" applyFill="1" applyBorder="1" applyAlignment="1">
      <alignment horizontal="center" vertical="center"/>
    </xf>
    <xf numFmtId="0" fontId="14" fillId="4" borderId="24" xfId="0" applyFont="1" applyFill="1" applyBorder="1" applyAlignment="1">
      <alignment horizontal="center" vertical="center"/>
    </xf>
    <xf numFmtId="0" fontId="14" fillId="4" borderId="109" xfId="0" applyFont="1" applyFill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/>
    </xf>
    <xf numFmtId="0" fontId="14" fillId="2" borderId="109" xfId="0" applyFont="1" applyFill="1" applyBorder="1" applyAlignment="1">
      <alignment horizontal="center" vertical="center"/>
    </xf>
    <xf numFmtId="0" fontId="14" fillId="2" borderId="24" xfId="0" applyFont="1" applyFill="1" applyBorder="1" applyAlignment="1">
      <alignment horizontal="center" vertical="center"/>
    </xf>
    <xf numFmtId="0" fontId="37" fillId="0" borderId="86" xfId="0" applyFont="1" applyBorder="1" applyAlignment="1">
      <alignment horizontal="left"/>
    </xf>
    <xf numFmtId="0" fontId="37" fillId="0" borderId="0" xfId="0" applyFont="1" applyAlignment="1">
      <alignment horizontal="left"/>
    </xf>
    <xf numFmtId="0" fontId="14" fillId="4" borderId="22" xfId="0" applyFont="1" applyFill="1" applyBorder="1" applyAlignment="1">
      <alignment horizontal="center"/>
    </xf>
    <xf numFmtId="0" fontId="14" fillId="4" borderId="109" xfId="0" applyFont="1" applyFill="1" applyBorder="1" applyAlignment="1">
      <alignment horizontal="center"/>
    </xf>
    <xf numFmtId="0" fontId="14" fillId="4" borderId="24" xfId="0" applyFont="1" applyFill="1" applyBorder="1" applyAlignment="1">
      <alignment horizontal="center"/>
    </xf>
    <xf numFmtId="0" fontId="69" fillId="5" borderId="0" xfId="0" applyFont="1" applyFill="1" applyAlignment="1">
      <alignment vertical="center"/>
    </xf>
  </cellXfs>
  <cellStyles count="2">
    <cellStyle name="Link" xfId="1" builtinId="8"/>
    <cellStyle name="Standard" xfId="0" builtinId="0"/>
  </cellStyles>
  <dxfs count="481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color theme="0"/>
      </font>
      <fill>
        <patternFill patternType="solid"/>
      </fill>
    </dxf>
    <dxf>
      <font>
        <b/>
        <i val="0"/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color theme="0"/>
      </font>
      <fill>
        <patternFill patternType="solid"/>
      </fill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color theme="0"/>
      </font>
      <fill>
        <patternFill patternType="solid"/>
      </fill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color theme="0"/>
      </font>
      <fill>
        <patternFill patternType="solid"/>
      </fill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color theme="0"/>
      </font>
      <fill>
        <patternFill patternType="solid"/>
      </fill>
    </dxf>
    <dxf>
      <font>
        <b/>
        <i val="0"/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BDCD1"/>
      <color rgb="FFFF7C80"/>
      <color rgb="FFFFC7CE"/>
      <color rgb="FFFFC7D1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101</xdr:row>
      <xdr:rowOff>88900</xdr:rowOff>
    </xdr:from>
    <xdr:to>
      <xdr:col>17</xdr:col>
      <xdr:colOff>101600</xdr:colOff>
      <xdr:row>104</xdr:row>
      <xdr:rowOff>155575</xdr:rowOff>
    </xdr:to>
    <xdr:pic>
      <xdr:nvPicPr>
        <xdr:cNvPr id="2" name="Bild 3" descr="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20624800"/>
          <a:ext cx="3149600" cy="638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112447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112447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112447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112447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112447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112447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112447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279400</xdr:colOff>
          <xdr:row>5</xdr:row>
          <xdr:rowOff>12700</xdr:rowOff>
        </xdr:from>
        <xdr:to>
          <xdr:col>1</xdr:col>
          <xdr:colOff>495300</xdr:colOff>
          <xdr:row>7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279400</xdr:colOff>
          <xdr:row>9</xdr:row>
          <xdr:rowOff>12700</xdr:rowOff>
        </xdr:from>
        <xdr:to>
          <xdr:col>1</xdr:col>
          <xdr:colOff>495300</xdr:colOff>
          <xdr:row>11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330199</xdr:colOff>
      <xdr:row>1</xdr:row>
      <xdr:rowOff>76200</xdr:rowOff>
    </xdr:from>
    <xdr:to>
      <xdr:col>5</xdr:col>
      <xdr:colOff>1861532</xdr:colOff>
      <xdr:row>11</xdr:row>
      <xdr:rowOff>88900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12149" y="273050"/>
          <a:ext cx="1531333" cy="13144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112447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112447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112447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112447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112447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112447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Galathea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richard.graf@wienkav.at" TargetMode="External"/><Relationship Id="rId2" Type="http://schemas.openxmlformats.org/officeDocument/2006/relationships/hyperlink" Target="mailto:harald.mauler@wienkav.at" TargetMode="External"/><Relationship Id="rId1" Type="http://schemas.openxmlformats.org/officeDocument/2006/relationships/hyperlink" Target="mailto:michi.graf@chello.at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s://www.aekwien.at/wiener-gesundheitsverbund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7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9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0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1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2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2F8C3-14C9-4141-A367-50F0A3B0BBCC}">
  <dimension ref="A1:T105"/>
  <sheetViews>
    <sheetView showRowColHeaders="0" tabSelected="1" workbookViewId="0"/>
  </sheetViews>
  <sheetFormatPr baseColWidth="10" defaultColWidth="10.83203125" defaultRowHeight="15"/>
  <cols>
    <col min="1" max="1" width="5.5" style="176" customWidth="1"/>
    <col min="2" max="16384" width="10.83203125" style="176"/>
  </cols>
  <sheetData>
    <row r="1" spans="1:9">
      <c r="A1" s="653"/>
    </row>
    <row r="2" spans="1:9" ht="21">
      <c r="B2" s="177" t="s">
        <v>434</v>
      </c>
      <c r="C2" s="177"/>
    </row>
    <row r="3" spans="1:9" ht="15" customHeight="1">
      <c r="B3" s="177"/>
      <c r="C3" s="177"/>
    </row>
    <row r="4" spans="1:9" ht="15" customHeight="1">
      <c r="B4" s="169" t="s">
        <v>435</v>
      </c>
      <c r="C4" s="177"/>
    </row>
    <row r="5" spans="1:9" ht="15" customHeight="1">
      <c r="B5" s="169"/>
      <c r="C5" s="177"/>
    </row>
    <row r="6" spans="1:9" ht="15" customHeight="1">
      <c r="B6" s="169" t="s">
        <v>427</v>
      </c>
      <c r="C6" s="177"/>
    </row>
    <row r="7" spans="1:9" ht="15" customHeight="1">
      <c r="B7" s="169" t="s">
        <v>420</v>
      </c>
      <c r="C7" s="177"/>
    </row>
    <row r="8" spans="1:9" ht="15" customHeight="1">
      <c r="B8" s="169" t="s">
        <v>421</v>
      </c>
      <c r="C8" s="177"/>
    </row>
    <row r="9" spans="1:9" ht="15" customHeight="1">
      <c r="B9" s="169" t="s">
        <v>428</v>
      </c>
      <c r="C9" s="177"/>
      <c r="I9" s="482" t="s">
        <v>424</v>
      </c>
    </row>
    <row r="10" spans="1:9" ht="15" customHeight="1">
      <c r="B10" s="169" t="s">
        <v>429</v>
      </c>
      <c r="C10" s="177"/>
    </row>
    <row r="11" spans="1:9" ht="15" customHeight="1">
      <c r="B11" s="169"/>
      <c r="C11" s="177"/>
    </row>
    <row r="12" spans="1:9" ht="15" customHeight="1">
      <c r="B12" s="169" t="s">
        <v>442</v>
      </c>
      <c r="C12" s="177"/>
    </row>
    <row r="13" spans="1:9" ht="15" customHeight="1">
      <c r="B13" s="169" t="s">
        <v>422</v>
      </c>
      <c r="C13" s="177"/>
    </row>
    <row r="14" spans="1:9" ht="15" customHeight="1">
      <c r="B14" s="169" t="s">
        <v>423</v>
      </c>
      <c r="C14" s="177"/>
    </row>
    <row r="15" spans="1:9" ht="21">
      <c r="C15" s="177"/>
    </row>
    <row r="16" spans="1:9" ht="21">
      <c r="B16" s="178" t="s">
        <v>159</v>
      </c>
      <c r="C16" s="177"/>
    </row>
    <row r="17" spans="1:20" ht="16">
      <c r="B17" s="169"/>
      <c r="C17" s="169"/>
      <c r="D17" s="169"/>
      <c r="E17" s="169"/>
      <c r="F17" s="169"/>
      <c r="G17" s="169"/>
      <c r="H17" s="169"/>
      <c r="I17" s="169"/>
      <c r="J17" s="169"/>
      <c r="K17" s="169"/>
      <c r="L17" s="169"/>
      <c r="M17" s="169"/>
      <c r="N17" s="169"/>
      <c r="O17" s="169"/>
    </row>
    <row r="18" spans="1:20" ht="16">
      <c r="B18" s="169" t="s">
        <v>302</v>
      </c>
      <c r="C18" s="169"/>
      <c r="D18" s="169"/>
      <c r="E18" s="169"/>
      <c r="F18" s="169"/>
      <c r="G18" s="169"/>
      <c r="H18" s="169"/>
      <c r="I18" s="169"/>
      <c r="J18" s="169"/>
      <c r="K18" s="169"/>
      <c r="L18" s="169"/>
      <c r="M18" s="169"/>
      <c r="N18" s="169"/>
      <c r="O18" s="169"/>
    </row>
    <row r="19" spans="1:20" ht="16">
      <c r="B19" s="169" t="s">
        <v>303</v>
      </c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69"/>
      <c r="N19" s="169"/>
      <c r="O19" s="169"/>
    </row>
    <row r="20" spans="1:20" ht="16">
      <c r="B20" s="179" t="s">
        <v>304</v>
      </c>
      <c r="C20" s="169"/>
      <c r="D20" s="169"/>
      <c r="E20" s="169"/>
      <c r="F20" s="169"/>
      <c r="G20" s="169"/>
      <c r="H20" s="169"/>
      <c r="I20" s="169"/>
      <c r="J20" s="169"/>
      <c r="K20" s="169"/>
      <c r="L20" s="169"/>
      <c r="M20" s="169"/>
      <c r="N20" s="169"/>
      <c r="O20" s="169"/>
    </row>
    <row r="21" spans="1:20" ht="16">
      <c r="B21" s="179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  <c r="O21" s="169"/>
    </row>
    <row r="22" spans="1:20" ht="16">
      <c r="B22" s="169" t="s">
        <v>75</v>
      </c>
      <c r="C22" s="169"/>
      <c r="D22" s="169"/>
      <c r="E22" s="169"/>
      <c r="F22" s="169"/>
      <c r="G22" s="169"/>
      <c r="H22" s="169"/>
      <c r="I22" s="169"/>
      <c r="J22" s="169"/>
      <c r="K22" s="169"/>
      <c r="L22" s="169"/>
      <c r="M22" s="169"/>
      <c r="N22" s="169"/>
      <c r="O22" s="169"/>
    </row>
    <row r="23" spans="1:20" ht="16">
      <c r="B23" s="169" t="s">
        <v>136</v>
      </c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69"/>
      <c r="O23" s="169"/>
    </row>
    <row r="24" spans="1:20" ht="16">
      <c r="B24" s="169" t="s">
        <v>305</v>
      </c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</row>
    <row r="25" spans="1:20" ht="16">
      <c r="B25" s="169" t="s">
        <v>137</v>
      </c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</row>
    <row r="26" spans="1:20" ht="16">
      <c r="B26" s="169"/>
      <c r="C26" s="169"/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S26" s="180"/>
    </row>
    <row r="27" spans="1:20" ht="16">
      <c r="B27" s="169" t="s">
        <v>306</v>
      </c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S27" s="180"/>
    </row>
    <row r="28" spans="1:20" ht="16">
      <c r="B28" s="169" t="s">
        <v>307</v>
      </c>
      <c r="C28" s="169"/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</row>
    <row r="29" spans="1:20" ht="16">
      <c r="B29" s="169" t="s">
        <v>186</v>
      </c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S29" s="180"/>
    </row>
    <row r="30" spans="1:20" s="183" customFormat="1" ht="16">
      <c r="A30" s="176"/>
      <c r="B30" s="179" t="s">
        <v>430</v>
      </c>
      <c r="C30" s="169"/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76"/>
      <c r="Q30" s="176"/>
      <c r="R30" s="176"/>
      <c r="S30" s="180"/>
      <c r="T30" s="176"/>
    </row>
    <row r="31" spans="1:20" ht="16">
      <c r="B31" s="179" t="s">
        <v>187</v>
      </c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S31" s="180"/>
    </row>
    <row r="32" spans="1:20" ht="16">
      <c r="B32" s="179"/>
      <c r="C32" s="169"/>
      <c r="D32" s="169"/>
      <c r="E32" s="169"/>
      <c r="F32" s="169"/>
      <c r="G32" s="169"/>
      <c r="H32" s="169"/>
      <c r="I32" s="169"/>
      <c r="J32" s="169"/>
      <c r="K32" s="169"/>
      <c r="L32" s="169"/>
      <c r="M32" s="169"/>
      <c r="N32" s="169"/>
      <c r="O32" s="169"/>
      <c r="S32" s="180"/>
    </row>
    <row r="33" spans="1:20" s="169" customFormat="1" ht="16">
      <c r="A33" s="176"/>
      <c r="B33" s="179" t="s">
        <v>308</v>
      </c>
      <c r="P33" s="176"/>
      <c r="Q33" s="176"/>
      <c r="R33" s="176"/>
      <c r="S33" s="176"/>
      <c r="T33" s="176"/>
    </row>
    <row r="34" spans="1:20" ht="16">
      <c r="B34" s="179" t="s">
        <v>309</v>
      </c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T34" s="183"/>
    </row>
    <row r="35" spans="1:20" ht="16">
      <c r="B35" s="179" t="s">
        <v>310</v>
      </c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69"/>
      <c r="O35" s="169"/>
      <c r="R35" s="180"/>
      <c r="T35" s="183"/>
    </row>
    <row r="36" spans="1:20" ht="16">
      <c r="B36" s="169"/>
      <c r="C36" s="169"/>
      <c r="D36" s="169"/>
      <c r="E36" s="169"/>
      <c r="F36" s="169"/>
      <c r="G36" s="169"/>
      <c r="H36" s="169"/>
      <c r="I36" s="169"/>
      <c r="J36" s="169"/>
      <c r="K36" s="169"/>
      <c r="L36" s="169"/>
      <c r="M36" s="169"/>
      <c r="N36" s="169"/>
      <c r="O36" s="169"/>
      <c r="R36" s="180"/>
      <c r="S36" s="183"/>
      <c r="T36" s="183"/>
    </row>
    <row r="37" spans="1:20" ht="18" customHeight="1">
      <c r="B37" s="169" t="s">
        <v>188</v>
      </c>
      <c r="C37" s="169"/>
      <c r="D37" s="169"/>
      <c r="E37" s="169"/>
      <c r="F37" s="169"/>
      <c r="G37" s="169"/>
      <c r="H37" s="169"/>
      <c r="I37" s="169"/>
      <c r="J37" s="169"/>
      <c r="K37" s="169"/>
      <c r="L37" s="169"/>
      <c r="M37" s="169"/>
      <c r="N37" s="169"/>
      <c r="O37" s="169"/>
      <c r="R37" s="180"/>
      <c r="S37" s="183"/>
    </row>
    <row r="38" spans="1:20" ht="16">
      <c r="B38" s="169"/>
      <c r="C38" s="169"/>
      <c r="D38" s="169"/>
      <c r="E38" s="169"/>
      <c r="F38" s="169"/>
      <c r="G38" s="169"/>
      <c r="H38" s="169"/>
      <c r="I38" s="169"/>
      <c r="J38" s="169"/>
      <c r="K38" s="169"/>
      <c r="L38" s="169"/>
      <c r="M38" s="169"/>
      <c r="N38" s="169"/>
      <c r="O38" s="169"/>
      <c r="R38" s="180"/>
      <c r="S38" s="183"/>
    </row>
    <row r="39" spans="1:20" ht="16">
      <c r="B39" s="169" t="s">
        <v>189</v>
      </c>
      <c r="C39" s="169"/>
      <c r="D39" s="169"/>
      <c r="E39" s="169"/>
      <c r="F39" s="169"/>
      <c r="G39" s="169"/>
      <c r="H39" s="169"/>
      <c r="I39" s="169"/>
      <c r="J39" s="169"/>
      <c r="K39" s="169"/>
      <c r="L39" s="169"/>
      <c r="M39" s="169"/>
      <c r="N39" s="169"/>
      <c r="O39" s="169"/>
      <c r="R39" s="180"/>
    </row>
    <row r="40" spans="1:20" ht="16">
      <c r="B40" s="169"/>
      <c r="C40" s="169"/>
      <c r="D40" s="169"/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R40" s="180"/>
    </row>
    <row r="41" spans="1:20" ht="16">
      <c r="B41" s="169"/>
      <c r="C41" s="180" t="s">
        <v>16</v>
      </c>
      <c r="D41" s="180" t="s">
        <v>66</v>
      </c>
      <c r="E41" s="180"/>
      <c r="F41" s="180"/>
      <c r="G41" s="180"/>
      <c r="H41" s="180" t="s">
        <v>126</v>
      </c>
      <c r="I41" s="180" t="s">
        <v>425</v>
      </c>
      <c r="J41" s="180"/>
      <c r="K41" s="180"/>
      <c r="L41" s="181" t="s">
        <v>18</v>
      </c>
      <c r="M41" s="180" t="s">
        <v>113</v>
      </c>
      <c r="R41" s="180"/>
    </row>
    <row r="42" spans="1:20" ht="16">
      <c r="B42" s="169"/>
      <c r="C42" s="181" t="s">
        <v>139</v>
      </c>
      <c r="D42" s="180" t="s">
        <v>140</v>
      </c>
      <c r="E42" s="180"/>
      <c r="G42" s="180"/>
      <c r="H42" s="181" t="s">
        <v>21</v>
      </c>
      <c r="I42" s="180" t="s">
        <v>127</v>
      </c>
      <c r="J42" s="180"/>
      <c r="L42" s="180" t="s">
        <v>23</v>
      </c>
      <c r="M42" s="180" t="s">
        <v>24</v>
      </c>
      <c r="N42" s="180"/>
      <c r="O42" s="180"/>
      <c r="R42" s="180"/>
    </row>
    <row r="43" spans="1:20" ht="16">
      <c r="C43" s="180" t="s">
        <v>65</v>
      </c>
      <c r="D43" s="180" t="s">
        <v>68</v>
      </c>
      <c r="E43" s="180"/>
      <c r="F43" s="180"/>
      <c r="H43" s="181" t="s">
        <v>131</v>
      </c>
      <c r="I43" s="180" t="s">
        <v>141</v>
      </c>
      <c r="L43" s="181" t="s">
        <v>22</v>
      </c>
      <c r="M43" s="180" t="s">
        <v>76</v>
      </c>
      <c r="N43" s="180"/>
      <c r="O43" s="169"/>
      <c r="P43" s="182"/>
      <c r="R43" s="180"/>
    </row>
    <row r="44" spans="1:20" ht="18" customHeight="1">
      <c r="C44" s="180" t="s">
        <v>17</v>
      </c>
      <c r="D44" s="180" t="s">
        <v>70</v>
      </c>
      <c r="E44" s="180"/>
      <c r="F44" s="180"/>
      <c r="G44" s="182"/>
      <c r="H44" s="181" t="s">
        <v>280</v>
      </c>
      <c r="I44" s="180" t="s">
        <v>311</v>
      </c>
      <c r="J44" s="180"/>
      <c r="L44" s="181" t="s">
        <v>69</v>
      </c>
      <c r="M44" s="180" t="s">
        <v>118</v>
      </c>
      <c r="N44" s="180"/>
      <c r="O44" s="180"/>
      <c r="R44" s="180"/>
    </row>
    <row r="45" spans="1:20" ht="16">
      <c r="C45" s="180" t="s">
        <v>121</v>
      </c>
      <c r="D45" s="180" t="s">
        <v>123</v>
      </c>
      <c r="E45" s="180"/>
      <c r="F45" s="180"/>
      <c r="G45" s="182"/>
      <c r="L45" s="180"/>
      <c r="M45" s="180"/>
      <c r="N45" s="182"/>
      <c r="R45" s="180"/>
    </row>
    <row r="46" spans="1:20" ht="16">
      <c r="R46" s="180"/>
    </row>
    <row r="47" spans="1:20" ht="16">
      <c r="B47" s="169" t="s">
        <v>190</v>
      </c>
      <c r="R47" s="180"/>
    </row>
    <row r="48" spans="1:20" ht="16">
      <c r="B48" s="183"/>
      <c r="C48" s="183"/>
      <c r="D48" s="183"/>
      <c r="E48" s="183"/>
      <c r="F48" s="183"/>
      <c r="G48" s="183"/>
      <c r="H48" s="183"/>
      <c r="I48" s="183"/>
      <c r="J48" s="183"/>
      <c r="K48" s="183"/>
      <c r="L48" s="183"/>
      <c r="M48" s="183"/>
      <c r="N48" s="184"/>
      <c r="O48" s="183"/>
      <c r="P48" s="181"/>
      <c r="Q48" s="180"/>
      <c r="R48" s="180"/>
    </row>
    <row r="49" spans="1:20" ht="16">
      <c r="A49" s="183"/>
      <c r="B49" s="183"/>
      <c r="C49" s="180" t="s">
        <v>191</v>
      </c>
      <c r="D49" s="180"/>
      <c r="E49" s="180"/>
      <c r="F49" s="180"/>
      <c r="G49" s="180"/>
      <c r="H49" s="180"/>
      <c r="I49" s="180"/>
      <c r="J49" s="180"/>
      <c r="L49" s="181"/>
      <c r="M49" s="180"/>
      <c r="N49" s="180"/>
      <c r="O49" s="180"/>
      <c r="R49" s="180"/>
    </row>
    <row r="50" spans="1:20" ht="16">
      <c r="B50" s="183"/>
      <c r="C50" s="181" t="s">
        <v>192</v>
      </c>
      <c r="D50" s="180"/>
      <c r="E50" s="180"/>
      <c r="G50" s="180"/>
      <c r="H50" s="180"/>
      <c r="I50" s="180"/>
      <c r="J50" s="180"/>
      <c r="L50" s="181"/>
      <c r="M50" s="180"/>
      <c r="N50" s="180"/>
      <c r="O50" s="180"/>
      <c r="P50" s="181"/>
      <c r="Q50" s="180"/>
      <c r="R50" s="180"/>
    </row>
    <row r="51" spans="1:20" ht="16">
      <c r="B51" s="183"/>
      <c r="C51" s="181" t="s">
        <v>431</v>
      </c>
      <c r="D51" s="180"/>
      <c r="E51" s="180"/>
      <c r="G51" s="180"/>
      <c r="H51" s="180"/>
      <c r="I51" s="180"/>
      <c r="J51" s="180"/>
      <c r="L51" s="181"/>
      <c r="M51" s="180"/>
      <c r="N51" s="180"/>
      <c r="O51" s="180"/>
      <c r="P51" s="181"/>
      <c r="Q51" s="180"/>
      <c r="R51" s="180"/>
    </row>
    <row r="52" spans="1:20" ht="18" customHeight="1">
      <c r="B52" s="183"/>
      <c r="C52" s="181" t="s">
        <v>193</v>
      </c>
      <c r="D52" s="180"/>
      <c r="E52" s="180"/>
      <c r="G52" s="180"/>
      <c r="H52" s="180"/>
      <c r="I52" s="180"/>
      <c r="J52" s="180"/>
      <c r="L52" s="181"/>
      <c r="M52" s="180"/>
      <c r="N52" s="180"/>
      <c r="O52" s="180"/>
      <c r="P52" s="181"/>
      <c r="Q52" s="180"/>
      <c r="R52" s="180"/>
    </row>
    <row r="53" spans="1:20" ht="16">
      <c r="B53" s="183"/>
      <c r="C53" s="181" t="s">
        <v>194</v>
      </c>
      <c r="D53" s="180"/>
      <c r="E53" s="180"/>
      <c r="G53" s="180"/>
      <c r="H53" s="180"/>
      <c r="I53" s="180"/>
      <c r="J53" s="180"/>
      <c r="L53" s="181"/>
      <c r="M53" s="180"/>
      <c r="N53" s="180"/>
      <c r="O53" s="180"/>
      <c r="P53" s="181"/>
      <c r="Q53" s="180"/>
      <c r="R53" s="180"/>
    </row>
    <row r="54" spans="1:20" ht="16">
      <c r="B54" s="183"/>
      <c r="C54" s="181" t="s">
        <v>195</v>
      </c>
      <c r="D54" s="180"/>
      <c r="E54" s="180"/>
      <c r="G54" s="180"/>
      <c r="H54" s="180"/>
      <c r="I54" s="180"/>
      <c r="J54" s="180"/>
      <c r="L54" s="181"/>
      <c r="M54" s="180"/>
      <c r="N54" s="180"/>
      <c r="O54" s="180"/>
      <c r="P54" s="181"/>
      <c r="Q54" s="180"/>
      <c r="R54" s="180"/>
    </row>
    <row r="55" spans="1:20" ht="16">
      <c r="B55" s="183"/>
      <c r="C55" s="181" t="s">
        <v>196</v>
      </c>
      <c r="D55" s="180"/>
      <c r="E55" s="180"/>
      <c r="G55" s="180"/>
      <c r="H55" s="180"/>
      <c r="I55" s="180"/>
      <c r="J55" s="180"/>
      <c r="L55" s="181"/>
      <c r="M55" s="180"/>
      <c r="N55" s="180"/>
      <c r="O55" s="180"/>
      <c r="P55" s="181"/>
      <c r="Q55" s="180"/>
      <c r="R55" s="180"/>
    </row>
    <row r="56" spans="1:20" ht="16">
      <c r="B56" s="183"/>
      <c r="D56" s="180"/>
      <c r="E56" s="180"/>
      <c r="G56" s="180"/>
      <c r="H56" s="180"/>
      <c r="I56" s="180"/>
      <c r="J56" s="180"/>
      <c r="L56" s="181"/>
      <c r="M56" s="180"/>
      <c r="N56" s="180"/>
      <c r="O56" s="180"/>
      <c r="P56" s="181"/>
      <c r="Q56" s="180"/>
      <c r="R56" s="180"/>
    </row>
    <row r="57" spans="1:20" ht="18" customHeight="1">
      <c r="A57" s="169"/>
      <c r="B57" s="169" t="s">
        <v>197</v>
      </c>
      <c r="D57" s="180"/>
      <c r="E57" s="180"/>
      <c r="G57" s="180"/>
      <c r="H57" s="180"/>
      <c r="I57" s="180"/>
      <c r="J57" s="180"/>
      <c r="L57" s="181"/>
      <c r="M57" s="180"/>
      <c r="N57" s="180"/>
      <c r="O57" s="180"/>
      <c r="P57" s="181"/>
      <c r="Q57" s="180"/>
      <c r="R57" s="180"/>
    </row>
    <row r="58" spans="1:20" ht="18" customHeight="1">
      <c r="A58" s="169"/>
      <c r="B58" s="169"/>
      <c r="D58" s="180"/>
      <c r="E58" s="180"/>
      <c r="G58" s="180"/>
      <c r="H58" s="180"/>
      <c r="I58" s="180"/>
      <c r="J58" s="180"/>
      <c r="L58" s="181"/>
      <c r="M58" s="180"/>
      <c r="N58" s="180"/>
      <c r="O58" s="180"/>
      <c r="P58" s="181"/>
      <c r="Q58" s="180"/>
      <c r="R58" s="180"/>
    </row>
    <row r="59" spans="1:20" ht="16">
      <c r="A59" s="169"/>
      <c r="B59" s="169"/>
      <c r="C59" s="181" t="s">
        <v>198</v>
      </c>
      <c r="D59" s="180"/>
      <c r="E59" s="180"/>
      <c r="G59" s="180"/>
      <c r="H59" s="180"/>
      <c r="I59" s="180"/>
      <c r="J59" s="180"/>
      <c r="L59" s="181"/>
      <c r="M59" s="180"/>
      <c r="N59" s="180"/>
      <c r="O59" s="180"/>
      <c r="P59" s="181"/>
      <c r="Q59" s="180"/>
      <c r="R59" s="180"/>
    </row>
    <row r="60" spans="1:20" ht="16">
      <c r="A60" s="169"/>
      <c r="B60" s="169"/>
      <c r="C60" s="181" t="s">
        <v>199</v>
      </c>
      <c r="D60" s="180"/>
      <c r="E60" s="180"/>
      <c r="G60" s="180"/>
      <c r="H60" s="180"/>
      <c r="I60" s="180"/>
      <c r="J60" s="180"/>
      <c r="L60" s="181"/>
      <c r="M60" s="180"/>
      <c r="N60" s="180"/>
      <c r="O60" s="180"/>
      <c r="P60" s="181"/>
      <c r="Q60" s="180"/>
      <c r="R60" s="180"/>
    </row>
    <row r="61" spans="1:20" ht="16">
      <c r="A61" s="169"/>
      <c r="B61" s="183"/>
      <c r="D61" s="180"/>
      <c r="E61" s="180"/>
      <c r="G61" s="180"/>
      <c r="H61" s="180"/>
      <c r="I61" s="180"/>
      <c r="J61" s="180"/>
      <c r="L61" s="181"/>
      <c r="M61" s="180"/>
      <c r="N61" s="180"/>
      <c r="O61" s="180"/>
      <c r="P61" s="181"/>
      <c r="Q61" s="180"/>
      <c r="R61" s="180"/>
    </row>
    <row r="62" spans="1:20" s="169" customFormat="1" ht="16">
      <c r="B62" s="169" t="s">
        <v>200</v>
      </c>
      <c r="C62" s="183"/>
      <c r="D62" s="183"/>
      <c r="E62" s="183"/>
      <c r="F62" s="183"/>
      <c r="G62" s="183"/>
      <c r="H62" s="183"/>
      <c r="I62" s="183"/>
      <c r="J62" s="183"/>
      <c r="K62" s="183"/>
      <c r="L62" s="183"/>
      <c r="M62" s="183"/>
      <c r="N62" s="183"/>
      <c r="O62" s="183"/>
      <c r="P62" s="181"/>
      <c r="Q62" s="180"/>
      <c r="R62" s="180"/>
      <c r="S62" s="176"/>
      <c r="T62" s="176"/>
    </row>
    <row r="63" spans="1:20" s="169" customFormat="1" ht="16">
      <c r="A63" s="176"/>
      <c r="C63" s="183"/>
      <c r="D63" s="183"/>
      <c r="E63" s="183"/>
      <c r="F63" s="183"/>
      <c r="G63" s="183"/>
      <c r="H63" s="183"/>
      <c r="I63" s="183"/>
      <c r="J63" s="183"/>
      <c r="K63" s="183"/>
      <c r="L63" s="183"/>
      <c r="M63" s="183"/>
      <c r="N63" s="183"/>
      <c r="O63" s="183"/>
      <c r="P63" s="181"/>
      <c r="Q63" s="180"/>
      <c r="R63" s="180"/>
      <c r="S63" s="176"/>
    </row>
    <row r="64" spans="1:20" s="169" customFormat="1" ht="16">
      <c r="A64" s="176"/>
      <c r="C64" s="181" t="s">
        <v>201</v>
      </c>
      <c r="D64" s="183"/>
      <c r="E64" s="183"/>
      <c r="F64" s="183"/>
      <c r="G64" s="183"/>
      <c r="H64" s="183"/>
      <c r="I64" s="183"/>
      <c r="J64" s="183"/>
      <c r="K64" s="183"/>
      <c r="L64" s="183"/>
      <c r="M64" s="183"/>
      <c r="N64" s="183"/>
      <c r="O64" s="183"/>
      <c r="P64" s="181"/>
      <c r="Q64" s="180"/>
      <c r="R64" s="180"/>
      <c r="S64" s="176"/>
      <c r="T64" s="176"/>
    </row>
    <row r="65" spans="1:20" s="169" customFormat="1" ht="16">
      <c r="A65" s="176"/>
      <c r="C65" s="183"/>
      <c r="D65" s="183"/>
      <c r="E65" s="183"/>
      <c r="F65" s="183"/>
      <c r="G65" s="183"/>
      <c r="H65" s="183"/>
      <c r="I65" s="183"/>
      <c r="J65" s="183"/>
      <c r="K65" s="183"/>
      <c r="L65" s="183"/>
      <c r="M65" s="183"/>
      <c r="N65" s="183"/>
      <c r="O65" s="183"/>
      <c r="P65" s="181"/>
      <c r="Q65" s="180"/>
      <c r="R65" s="180"/>
      <c r="S65" s="176"/>
      <c r="T65" s="176"/>
    </row>
    <row r="66" spans="1:20" s="169" customFormat="1" ht="16">
      <c r="A66" s="176"/>
      <c r="B66" s="169" t="s">
        <v>312</v>
      </c>
      <c r="C66" s="183"/>
      <c r="D66" s="183"/>
      <c r="E66" s="183"/>
      <c r="F66" s="183"/>
      <c r="G66" s="183"/>
      <c r="H66" s="183"/>
      <c r="I66" s="183"/>
      <c r="J66" s="183"/>
      <c r="K66" s="183"/>
      <c r="L66" s="183"/>
      <c r="M66" s="183"/>
      <c r="N66" s="183"/>
      <c r="O66" s="183"/>
      <c r="P66" s="181"/>
      <c r="Q66" s="180"/>
      <c r="R66" s="180"/>
      <c r="S66" s="176"/>
    </row>
    <row r="67" spans="1:20" ht="16">
      <c r="B67" s="169"/>
      <c r="C67" s="169"/>
      <c r="D67" s="169"/>
      <c r="E67" s="169"/>
      <c r="F67" s="169"/>
      <c r="G67" s="169"/>
      <c r="H67" s="169"/>
      <c r="I67" s="169"/>
      <c r="J67" s="169"/>
      <c r="K67" s="169"/>
      <c r="L67" s="169"/>
      <c r="M67" s="169"/>
      <c r="P67" s="181"/>
      <c r="Q67" s="180"/>
      <c r="R67" s="180"/>
      <c r="T67" s="169"/>
    </row>
    <row r="68" spans="1:20" ht="19">
      <c r="B68" s="178" t="s">
        <v>160</v>
      </c>
      <c r="C68" s="169"/>
      <c r="D68" s="169"/>
      <c r="E68" s="169"/>
      <c r="F68" s="169"/>
      <c r="G68" s="169"/>
      <c r="H68" s="169"/>
      <c r="I68" s="169"/>
      <c r="J68" s="169"/>
      <c r="K68" s="169"/>
      <c r="L68" s="169"/>
      <c r="M68" s="169"/>
      <c r="P68" s="181"/>
      <c r="Q68" s="180"/>
      <c r="R68" s="180"/>
      <c r="T68" s="169"/>
    </row>
    <row r="69" spans="1:20" ht="16">
      <c r="B69" s="169"/>
      <c r="C69" s="169"/>
      <c r="D69" s="169"/>
      <c r="E69" s="169"/>
      <c r="F69" s="169"/>
      <c r="G69" s="169"/>
      <c r="H69" s="169"/>
      <c r="I69" s="169"/>
      <c r="J69" s="169"/>
      <c r="K69" s="169"/>
      <c r="L69" s="169"/>
      <c r="M69" s="169"/>
      <c r="P69" s="181"/>
      <c r="Q69" s="180"/>
      <c r="R69" s="180"/>
      <c r="T69" s="169"/>
    </row>
    <row r="70" spans="1:20" ht="16">
      <c r="B70" s="169" t="s">
        <v>432</v>
      </c>
      <c r="C70" s="169"/>
      <c r="D70" s="169"/>
      <c r="E70" s="169"/>
      <c r="F70" s="169"/>
      <c r="G70" s="169"/>
      <c r="H70" s="169"/>
      <c r="I70" s="169"/>
      <c r="J70" s="169"/>
      <c r="K70" s="169"/>
      <c r="L70" s="169"/>
      <c r="M70" s="169"/>
      <c r="P70" s="181"/>
      <c r="Q70" s="180"/>
      <c r="R70" s="180"/>
      <c r="S70" s="169"/>
    </row>
    <row r="71" spans="1:20" ht="16">
      <c r="B71" s="169" t="s">
        <v>433</v>
      </c>
      <c r="C71" s="169"/>
      <c r="D71" s="169"/>
      <c r="E71" s="169"/>
      <c r="F71" s="169"/>
      <c r="G71" s="169"/>
      <c r="H71" s="169"/>
      <c r="I71" s="169"/>
      <c r="J71" s="169"/>
      <c r="K71" s="169"/>
      <c r="L71" s="169"/>
      <c r="M71" s="169"/>
      <c r="P71" s="181"/>
      <c r="Q71" s="180"/>
      <c r="R71" s="180"/>
    </row>
    <row r="72" spans="1:20" ht="16">
      <c r="B72" s="169" t="s">
        <v>313</v>
      </c>
      <c r="C72" s="169"/>
      <c r="D72" s="169"/>
      <c r="E72" s="169"/>
      <c r="F72" s="169"/>
      <c r="G72" s="169"/>
      <c r="H72" s="169"/>
      <c r="I72" s="169"/>
      <c r="J72" s="169"/>
      <c r="K72" s="169"/>
      <c r="L72" s="169"/>
      <c r="M72" s="169"/>
      <c r="P72" s="181"/>
      <c r="Q72" s="180"/>
      <c r="R72" s="180"/>
    </row>
    <row r="73" spans="1:20" ht="16">
      <c r="B73" s="169" t="s">
        <v>441</v>
      </c>
      <c r="C73" s="169"/>
      <c r="D73" s="169"/>
      <c r="E73" s="169"/>
      <c r="F73" s="169"/>
      <c r="G73" s="169"/>
      <c r="H73" s="169"/>
      <c r="I73" s="169"/>
      <c r="J73" s="169"/>
      <c r="K73" s="169"/>
      <c r="L73" s="169"/>
      <c r="M73" s="169"/>
      <c r="P73" s="181"/>
      <c r="Q73" s="180"/>
      <c r="R73" s="180"/>
      <c r="S73" s="169"/>
    </row>
    <row r="74" spans="1:20" ht="16">
      <c r="B74" s="169" t="s">
        <v>314</v>
      </c>
      <c r="C74" s="169"/>
      <c r="D74" s="169"/>
      <c r="E74" s="169"/>
      <c r="F74" s="169"/>
      <c r="G74" s="169"/>
      <c r="H74" s="169"/>
      <c r="I74" s="169"/>
      <c r="J74" s="169"/>
      <c r="K74" s="169"/>
      <c r="L74" s="169"/>
      <c r="M74" s="169"/>
      <c r="P74" s="181"/>
      <c r="Q74" s="180"/>
      <c r="R74" s="180"/>
      <c r="S74" s="169"/>
    </row>
    <row r="75" spans="1:20" ht="16">
      <c r="B75" s="169" t="s">
        <v>315</v>
      </c>
      <c r="C75" s="169"/>
      <c r="D75" s="169"/>
      <c r="E75" s="169"/>
      <c r="F75" s="169"/>
      <c r="G75" s="169"/>
      <c r="H75" s="169"/>
      <c r="I75" s="169"/>
      <c r="J75" s="169"/>
      <c r="K75" s="169"/>
      <c r="L75" s="169"/>
      <c r="M75" s="169"/>
      <c r="P75" s="181"/>
      <c r="Q75" s="180"/>
      <c r="R75" s="180"/>
      <c r="S75" s="169"/>
    </row>
    <row r="76" spans="1:20" ht="16">
      <c r="B76" s="169" t="s">
        <v>316</v>
      </c>
      <c r="C76" s="169"/>
      <c r="D76" s="169"/>
      <c r="E76" s="169"/>
      <c r="F76" s="169"/>
      <c r="G76" s="169"/>
      <c r="H76" s="169"/>
      <c r="I76" s="169"/>
      <c r="J76" s="169"/>
      <c r="K76" s="169"/>
      <c r="L76" s="169"/>
      <c r="M76" s="169"/>
      <c r="P76" s="181"/>
      <c r="Q76" s="180"/>
      <c r="R76" s="180"/>
      <c r="S76" s="169"/>
    </row>
    <row r="77" spans="1:20" ht="16">
      <c r="B77" s="169" t="s">
        <v>317</v>
      </c>
      <c r="C77" s="169"/>
      <c r="D77" s="169"/>
      <c r="E77" s="169"/>
      <c r="F77" s="169"/>
      <c r="G77" s="169"/>
      <c r="H77" s="169"/>
      <c r="I77" s="169"/>
      <c r="J77" s="169"/>
      <c r="K77" s="169"/>
      <c r="L77" s="169"/>
      <c r="M77" s="169"/>
      <c r="P77" s="181"/>
      <c r="Q77" s="180"/>
      <c r="R77" s="180"/>
    </row>
    <row r="78" spans="1:20" ht="16">
      <c r="B78" s="169" t="s">
        <v>202</v>
      </c>
      <c r="C78" s="169"/>
      <c r="D78" s="169"/>
      <c r="E78" s="169"/>
      <c r="F78" s="169"/>
      <c r="G78" s="169"/>
      <c r="H78" s="169"/>
      <c r="I78" s="169"/>
      <c r="J78" s="169"/>
      <c r="K78" s="169"/>
      <c r="L78" s="169"/>
      <c r="M78" s="169"/>
      <c r="P78" s="181"/>
      <c r="Q78" s="180"/>
      <c r="R78" s="180"/>
    </row>
    <row r="79" spans="1:20" ht="16">
      <c r="B79" s="169" t="s">
        <v>203</v>
      </c>
      <c r="C79" s="169"/>
      <c r="D79" s="169"/>
      <c r="E79" s="169"/>
      <c r="F79" s="169"/>
      <c r="G79" s="169"/>
      <c r="H79" s="169"/>
      <c r="I79" s="169"/>
      <c r="J79" s="169"/>
      <c r="K79" s="169"/>
      <c r="L79" s="169"/>
      <c r="M79" s="169"/>
      <c r="P79" s="181"/>
      <c r="Q79" s="180"/>
      <c r="R79" s="180"/>
    </row>
    <row r="80" spans="1:20" ht="16">
      <c r="B80" s="169"/>
      <c r="C80" s="169"/>
      <c r="D80" s="169"/>
      <c r="E80" s="169"/>
      <c r="F80" s="169"/>
      <c r="G80" s="169"/>
      <c r="H80" s="169"/>
      <c r="I80" s="169"/>
      <c r="J80" s="169"/>
      <c r="K80" s="169"/>
      <c r="L80" s="169"/>
      <c r="M80" s="169"/>
      <c r="P80" s="181"/>
      <c r="Q80" s="180"/>
      <c r="R80" s="180"/>
    </row>
    <row r="81" spans="2:18" ht="19">
      <c r="B81" s="178" t="s">
        <v>161</v>
      </c>
      <c r="C81" s="169"/>
      <c r="D81" s="169"/>
      <c r="E81" s="169"/>
      <c r="F81" s="169"/>
      <c r="G81" s="169"/>
      <c r="H81" s="169"/>
      <c r="I81" s="169"/>
      <c r="J81" s="169"/>
      <c r="K81" s="169"/>
      <c r="L81" s="169"/>
      <c r="M81" s="169"/>
      <c r="P81" s="181"/>
      <c r="Q81" s="180"/>
      <c r="R81" s="180"/>
    </row>
    <row r="82" spans="2:18" ht="16">
      <c r="B82" s="169"/>
      <c r="C82" s="169"/>
      <c r="D82" s="169"/>
      <c r="E82" s="169"/>
      <c r="F82" s="169"/>
      <c r="G82" s="169"/>
      <c r="H82" s="169"/>
      <c r="I82" s="169"/>
      <c r="J82" s="169"/>
      <c r="K82" s="169"/>
      <c r="L82" s="169"/>
      <c r="M82" s="169"/>
      <c r="P82" s="181"/>
      <c r="Q82" s="180"/>
      <c r="R82" s="180"/>
    </row>
    <row r="83" spans="2:18" ht="16">
      <c r="B83" s="169" t="s">
        <v>443</v>
      </c>
      <c r="C83" s="169"/>
      <c r="D83" s="169"/>
      <c r="E83" s="169"/>
      <c r="F83" s="169"/>
      <c r="G83" s="169"/>
      <c r="H83" s="169"/>
      <c r="I83" s="169"/>
      <c r="J83" s="169"/>
      <c r="K83" s="169"/>
      <c r="L83" s="169"/>
      <c r="M83" s="169"/>
      <c r="P83" s="181"/>
      <c r="Q83" s="180"/>
      <c r="R83" s="180"/>
    </row>
    <row r="84" spans="2:18" ht="16">
      <c r="B84" s="169" t="s">
        <v>318</v>
      </c>
      <c r="C84" s="169"/>
      <c r="D84" s="169"/>
      <c r="E84" s="169"/>
      <c r="F84" s="169"/>
      <c r="G84" s="169"/>
      <c r="H84" s="169"/>
      <c r="I84" s="169"/>
      <c r="J84" s="169"/>
      <c r="K84" s="169"/>
      <c r="L84" s="169"/>
      <c r="M84" s="169"/>
      <c r="P84" s="181"/>
      <c r="Q84" s="180"/>
      <c r="R84" s="180"/>
    </row>
    <row r="85" spans="2:18" ht="16">
      <c r="B85" s="169" t="s">
        <v>319</v>
      </c>
      <c r="C85" s="169"/>
      <c r="D85" s="169"/>
      <c r="E85" s="169"/>
      <c r="F85" s="169"/>
      <c r="G85" s="169"/>
      <c r="H85" s="169"/>
      <c r="I85" s="169"/>
      <c r="J85" s="169"/>
      <c r="K85" s="169"/>
      <c r="L85" s="169"/>
      <c r="M85" s="169"/>
      <c r="P85" s="181"/>
      <c r="Q85" s="180"/>
    </row>
    <row r="86" spans="2:18" ht="16">
      <c r="B86" s="169" t="s">
        <v>320</v>
      </c>
      <c r="C86" s="169"/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P86" s="181"/>
      <c r="Q86" s="180"/>
    </row>
    <row r="87" spans="2:18" ht="16">
      <c r="B87" s="169" t="s">
        <v>321</v>
      </c>
      <c r="C87" s="169"/>
      <c r="D87" s="169"/>
      <c r="E87" s="169"/>
      <c r="F87" s="169"/>
      <c r="G87" s="169"/>
      <c r="H87" s="169"/>
      <c r="I87" s="169"/>
      <c r="J87" s="169"/>
      <c r="K87" s="169"/>
      <c r="L87" s="169"/>
      <c r="M87" s="169"/>
      <c r="P87" s="181"/>
      <c r="Q87" s="180"/>
    </row>
    <row r="88" spans="2:18" ht="16">
      <c r="B88" s="169" t="s">
        <v>322</v>
      </c>
      <c r="C88" s="169"/>
      <c r="D88" s="169"/>
      <c r="E88" s="169"/>
      <c r="F88" s="169"/>
      <c r="G88" s="169"/>
      <c r="H88" s="169"/>
      <c r="I88" s="169"/>
      <c r="J88" s="169"/>
      <c r="K88" s="169"/>
      <c r="L88" s="169"/>
      <c r="M88" s="169"/>
      <c r="P88" s="181"/>
      <c r="Q88" s="180"/>
    </row>
    <row r="89" spans="2:18" ht="16">
      <c r="B89" s="169"/>
      <c r="C89" s="169"/>
      <c r="D89" s="169"/>
      <c r="E89" s="169"/>
      <c r="F89" s="169"/>
      <c r="G89" s="169"/>
      <c r="H89" s="169"/>
      <c r="I89" s="169"/>
      <c r="J89" s="169"/>
      <c r="K89" s="169"/>
      <c r="L89" s="169"/>
      <c r="M89" s="169"/>
      <c r="P89" s="181"/>
      <c r="Q89" s="180"/>
      <c r="R89" s="169"/>
    </row>
    <row r="90" spans="2:18" ht="19">
      <c r="B90" s="178" t="s">
        <v>162</v>
      </c>
      <c r="C90" s="169"/>
      <c r="D90" s="169"/>
      <c r="E90" s="169"/>
      <c r="F90" s="169"/>
      <c r="G90" s="169"/>
      <c r="H90" s="169"/>
      <c r="I90" s="169"/>
      <c r="J90" s="169"/>
      <c r="K90" s="169"/>
      <c r="L90" s="169"/>
      <c r="M90" s="169"/>
      <c r="P90" s="181"/>
      <c r="Q90" s="180"/>
      <c r="R90" s="169"/>
    </row>
    <row r="91" spans="2:18" ht="16">
      <c r="B91" s="169"/>
      <c r="C91" s="169"/>
      <c r="D91" s="169"/>
      <c r="E91" s="169"/>
      <c r="F91" s="169"/>
      <c r="G91" s="169"/>
      <c r="H91" s="169"/>
      <c r="I91" s="169"/>
      <c r="J91" s="169"/>
      <c r="K91" s="169"/>
      <c r="L91" s="169"/>
      <c r="M91" s="169"/>
      <c r="P91" s="181"/>
      <c r="Q91" s="180"/>
      <c r="R91" s="169"/>
    </row>
    <row r="92" spans="2:18" ht="16">
      <c r="B92" s="169" t="s">
        <v>163</v>
      </c>
      <c r="C92" s="169"/>
      <c r="D92" s="169"/>
      <c r="E92" s="169"/>
      <c r="F92" s="169"/>
      <c r="G92" s="169"/>
      <c r="H92" s="169"/>
      <c r="I92" s="169"/>
      <c r="J92" s="169"/>
      <c r="K92" s="169"/>
      <c r="L92" s="169"/>
      <c r="M92" s="169"/>
      <c r="P92" s="181"/>
      <c r="Q92" s="180"/>
      <c r="R92" s="169"/>
    </row>
    <row r="93" spans="2:18" ht="16">
      <c r="B93" s="169" t="s">
        <v>204</v>
      </c>
      <c r="C93" s="169"/>
      <c r="D93" s="169"/>
      <c r="E93" s="169"/>
      <c r="F93" s="169"/>
      <c r="G93" s="169"/>
      <c r="H93" s="169"/>
      <c r="I93" s="169"/>
      <c r="J93" s="169"/>
      <c r="K93" s="169"/>
      <c r="L93" s="169"/>
      <c r="M93" s="169"/>
      <c r="P93" s="181"/>
      <c r="Q93" s="180"/>
    </row>
    <row r="94" spans="2:18" ht="16">
      <c r="B94" s="169" t="s">
        <v>205</v>
      </c>
      <c r="C94" s="169"/>
      <c r="D94" s="169"/>
      <c r="E94" s="169"/>
      <c r="F94" s="169"/>
      <c r="G94" s="169"/>
      <c r="H94" s="169"/>
      <c r="I94" s="169"/>
      <c r="J94" s="169"/>
      <c r="K94" s="169"/>
      <c r="L94" s="169"/>
      <c r="M94" s="169"/>
      <c r="P94" s="181"/>
      <c r="Q94" s="180"/>
    </row>
    <row r="95" spans="2:18" ht="16">
      <c r="B95" s="169" t="s">
        <v>206</v>
      </c>
      <c r="C95" s="169"/>
      <c r="D95" s="169"/>
      <c r="E95" s="169"/>
      <c r="F95" s="169"/>
      <c r="G95" s="169"/>
      <c r="H95" s="169"/>
      <c r="I95" s="169"/>
      <c r="J95" s="169"/>
      <c r="K95" s="169"/>
      <c r="L95" s="169"/>
      <c r="M95" s="169"/>
      <c r="P95" s="181"/>
      <c r="Q95" s="180"/>
      <c r="R95" s="169"/>
    </row>
    <row r="96" spans="2:18" ht="16">
      <c r="B96" s="169"/>
      <c r="C96" s="169"/>
      <c r="D96" s="169"/>
      <c r="E96" s="169"/>
      <c r="F96" s="169"/>
      <c r="G96" s="169"/>
      <c r="H96" s="169"/>
      <c r="I96" s="169"/>
      <c r="J96" s="169"/>
      <c r="K96" s="169"/>
      <c r="L96" s="169"/>
      <c r="M96" s="169"/>
      <c r="P96" s="181"/>
      <c r="Q96" s="180"/>
    </row>
    <row r="97" spans="2:17" ht="16">
      <c r="B97" s="185" t="s">
        <v>164</v>
      </c>
    </row>
    <row r="98" spans="2:17" ht="16">
      <c r="B98" s="169" t="s">
        <v>426</v>
      </c>
    </row>
    <row r="99" spans="2:17" ht="16">
      <c r="B99" s="169"/>
    </row>
    <row r="100" spans="2:17" ht="16">
      <c r="B100" s="169" t="s">
        <v>110</v>
      </c>
      <c r="C100" s="169"/>
      <c r="D100" s="169"/>
      <c r="E100" s="169"/>
      <c r="F100" s="169"/>
      <c r="G100" s="169"/>
      <c r="H100" s="169"/>
      <c r="I100" s="169"/>
      <c r="J100" s="169"/>
      <c r="K100" s="169"/>
      <c r="L100" s="169"/>
      <c r="M100" s="169"/>
    </row>
    <row r="101" spans="2:17" ht="16">
      <c r="B101" s="169" t="s">
        <v>207</v>
      </c>
      <c r="C101" s="169"/>
      <c r="D101" s="169"/>
      <c r="E101" s="169"/>
      <c r="F101" s="169"/>
      <c r="G101" s="169"/>
      <c r="H101" s="169"/>
      <c r="I101" s="169"/>
      <c r="J101" s="169"/>
      <c r="K101" s="169"/>
      <c r="L101" s="169"/>
      <c r="M101" s="169"/>
      <c r="N101" s="169"/>
      <c r="O101" s="169"/>
      <c r="P101" s="169"/>
      <c r="Q101" s="169"/>
    </row>
    <row r="102" spans="2:17" ht="16">
      <c r="B102" s="169"/>
      <c r="C102" s="169"/>
      <c r="D102" s="169"/>
      <c r="E102" s="169"/>
      <c r="F102" s="169"/>
      <c r="G102" s="169"/>
      <c r="H102" s="169"/>
      <c r="I102" s="169"/>
      <c r="J102" s="169"/>
      <c r="K102" s="169"/>
      <c r="L102" s="169"/>
      <c r="M102" s="169"/>
      <c r="N102" s="169"/>
      <c r="O102" s="169"/>
      <c r="P102" s="169"/>
      <c r="Q102" s="169"/>
    </row>
    <row r="103" spans="2:17" ht="16">
      <c r="B103" s="169"/>
      <c r="C103" s="169"/>
      <c r="D103" s="169"/>
      <c r="E103" s="169"/>
      <c r="F103" s="169"/>
      <c r="G103" s="169"/>
      <c r="H103" s="169"/>
      <c r="I103" s="169"/>
      <c r="J103" s="169"/>
      <c r="K103" s="169"/>
      <c r="L103" s="169"/>
      <c r="M103" s="169"/>
      <c r="N103" s="169"/>
      <c r="O103" s="169"/>
      <c r="P103" s="169"/>
      <c r="Q103" s="169"/>
    </row>
    <row r="104" spans="2:17" ht="16">
      <c r="B104" s="483" t="s">
        <v>391</v>
      </c>
      <c r="C104" s="169"/>
      <c r="D104" s="169"/>
      <c r="E104" s="169"/>
      <c r="F104" s="169"/>
      <c r="G104" s="169"/>
      <c r="H104" s="169"/>
      <c r="I104" s="169"/>
      <c r="J104" s="169"/>
      <c r="K104" s="169"/>
      <c r="L104" s="169"/>
      <c r="M104" s="222" t="s">
        <v>208</v>
      </c>
      <c r="N104" s="169"/>
      <c r="O104" s="169"/>
      <c r="P104" s="169"/>
      <c r="Q104" s="169"/>
    </row>
    <row r="105" spans="2:17" ht="16">
      <c r="B105" s="169"/>
      <c r="C105" s="169"/>
      <c r="E105" s="169"/>
      <c r="F105" s="169"/>
      <c r="G105" s="169"/>
      <c r="K105" s="169"/>
    </row>
  </sheetData>
  <sheetProtection algorithmName="SHA-512" hashValue="hXiW4ZPWVwLb9Av+uTmK+rj3G77prkFxtt01pLw5eV1CfNnm1Vkp2JlF8MUMrfsCaNydnhAfthQREq2qfxKL+A==" saltValue="fEEMzMa+4jrYKCFZf49GJA==" spinCount="100000" sheet="1" objects="1" scenarios="1"/>
  <hyperlinks>
    <hyperlink ref="B93" r:id="rId1" display="michi.graf@chello.at" xr:uid="{8F401E41-B4DE-4F69-9FA5-D25CF03EAE93}"/>
    <hyperlink ref="E93" r:id="rId2" display="harald.mauler@wienkav.at" xr:uid="{72927E5A-6AED-4FFA-A620-155EC22E0858}"/>
    <hyperlink ref="K93" r:id="rId3" display="richard.graf@wienkav.at" xr:uid="{384C8045-5357-4E9F-8309-E63EAF3D2EF6}"/>
    <hyperlink ref="I9" r:id="rId4" xr:uid="{95E63C47-9D52-442D-9B98-0AC5BDB57D7E}"/>
  </hyperlinks>
  <pageMargins left="0.7" right="0.7" top="0.78740157499999996" bottom="0.78740157499999996" header="0.3" footer="0.3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C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71" customWidth="1"/>
    <col min="2" max="2" width="3.1640625" style="56" customWidth="1"/>
    <col min="3" max="3" width="8.83203125" style="56" customWidth="1"/>
    <col min="4" max="5" width="9.83203125" style="56" customWidth="1"/>
    <col min="6" max="10" width="9.1640625" style="56" customWidth="1"/>
    <col min="11" max="16" width="8.83203125" style="56" customWidth="1"/>
    <col min="17" max="17" width="23.5" style="66" customWidth="1"/>
    <col min="18" max="18" width="36.5" style="66" customWidth="1"/>
    <col min="19" max="19" width="43.5" style="56" customWidth="1"/>
    <col min="20" max="33" width="7.1640625" style="234" customWidth="1"/>
    <col min="34" max="34" width="7.1640625" style="301" customWidth="1"/>
    <col min="35" max="261" width="11.5" style="56"/>
    <col min="262" max="262" width="0.5" style="56" customWidth="1"/>
    <col min="263" max="263" width="3.1640625" style="56" customWidth="1"/>
    <col min="264" max="264" width="8.83203125" style="56" customWidth="1"/>
    <col min="265" max="265" width="14.83203125" style="56" customWidth="1"/>
    <col min="266" max="267" width="6.5" style="56" customWidth="1"/>
    <col min="268" max="268" width="14.83203125" style="56" customWidth="1"/>
    <col min="269" max="270" width="11.5" style="56" customWidth="1"/>
    <col min="271" max="271" width="6.1640625" style="56" customWidth="1"/>
    <col min="272" max="272" width="22.83203125" style="56" customWidth="1"/>
    <col min="273" max="273" width="11.5" style="56" customWidth="1"/>
    <col min="274" max="274" width="13.83203125" style="56" customWidth="1"/>
    <col min="275" max="275" width="5.83203125" style="56" customWidth="1"/>
    <col min="276" max="276" width="15.5" style="56" customWidth="1"/>
    <col min="277" max="517" width="11.5" style="56"/>
    <col min="518" max="518" width="0.5" style="56" customWidth="1"/>
    <col min="519" max="519" width="3.1640625" style="56" customWidth="1"/>
    <col min="520" max="520" width="8.83203125" style="56" customWidth="1"/>
    <col min="521" max="521" width="14.83203125" style="56" customWidth="1"/>
    <col min="522" max="523" width="6.5" style="56" customWidth="1"/>
    <col min="524" max="524" width="14.83203125" style="56" customWidth="1"/>
    <col min="525" max="526" width="11.5" style="56" customWidth="1"/>
    <col min="527" max="527" width="6.1640625" style="56" customWidth="1"/>
    <col min="528" max="528" width="22.83203125" style="56" customWidth="1"/>
    <col min="529" max="529" width="11.5" style="56" customWidth="1"/>
    <col min="530" max="530" width="13.83203125" style="56" customWidth="1"/>
    <col min="531" max="531" width="5.83203125" style="56" customWidth="1"/>
    <col min="532" max="532" width="15.5" style="56" customWidth="1"/>
    <col min="533" max="773" width="11.5" style="56"/>
    <col min="774" max="774" width="0.5" style="56" customWidth="1"/>
    <col min="775" max="775" width="3.1640625" style="56" customWidth="1"/>
    <col min="776" max="776" width="8.83203125" style="56" customWidth="1"/>
    <col min="777" max="777" width="14.83203125" style="56" customWidth="1"/>
    <col min="778" max="779" width="6.5" style="56" customWidth="1"/>
    <col min="780" max="780" width="14.83203125" style="56" customWidth="1"/>
    <col min="781" max="782" width="11.5" style="56" customWidth="1"/>
    <col min="783" max="783" width="6.1640625" style="56" customWidth="1"/>
    <col min="784" max="784" width="22.83203125" style="56" customWidth="1"/>
    <col min="785" max="785" width="11.5" style="56" customWidth="1"/>
    <col min="786" max="786" width="13.83203125" style="56" customWidth="1"/>
    <col min="787" max="787" width="5.83203125" style="56" customWidth="1"/>
    <col min="788" max="788" width="15.5" style="56" customWidth="1"/>
    <col min="789" max="1029" width="11.5" style="56"/>
    <col min="1030" max="1030" width="0.5" style="56" customWidth="1"/>
    <col min="1031" max="1031" width="3.1640625" style="56" customWidth="1"/>
    <col min="1032" max="1032" width="8.83203125" style="56" customWidth="1"/>
    <col min="1033" max="1033" width="14.83203125" style="56" customWidth="1"/>
    <col min="1034" max="1035" width="6.5" style="56" customWidth="1"/>
    <col min="1036" max="1036" width="14.83203125" style="56" customWidth="1"/>
    <col min="1037" max="1038" width="11.5" style="56" customWidth="1"/>
    <col min="1039" max="1039" width="6.1640625" style="56" customWidth="1"/>
    <col min="1040" max="1040" width="22.83203125" style="56" customWidth="1"/>
    <col min="1041" max="1041" width="11.5" style="56" customWidth="1"/>
    <col min="1042" max="1042" width="13.83203125" style="56" customWidth="1"/>
    <col min="1043" max="1043" width="5.83203125" style="56" customWidth="1"/>
    <col min="1044" max="1044" width="15.5" style="56" customWidth="1"/>
    <col min="1045" max="1285" width="11.5" style="56"/>
    <col min="1286" max="1286" width="0.5" style="56" customWidth="1"/>
    <col min="1287" max="1287" width="3.1640625" style="56" customWidth="1"/>
    <col min="1288" max="1288" width="8.83203125" style="56" customWidth="1"/>
    <col min="1289" max="1289" width="14.83203125" style="56" customWidth="1"/>
    <col min="1290" max="1291" width="6.5" style="56" customWidth="1"/>
    <col min="1292" max="1292" width="14.83203125" style="56" customWidth="1"/>
    <col min="1293" max="1294" width="11.5" style="56" customWidth="1"/>
    <col min="1295" max="1295" width="6.1640625" style="56" customWidth="1"/>
    <col min="1296" max="1296" width="22.83203125" style="56" customWidth="1"/>
    <col min="1297" max="1297" width="11.5" style="56" customWidth="1"/>
    <col min="1298" max="1298" width="13.83203125" style="56" customWidth="1"/>
    <col min="1299" max="1299" width="5.83203125" style="56" customWidth="1"/>
    <col min="1300" max="1300" width="15.5" style="56" customWidth="1"/>
    <col min="1301" max="1541" width="11.5" style="56"/>
    <col min="1542" max="1542" width="0.5" style="56" customWidth="1"/>
    <col min="1543" max="1543" width="3.1640625" style="56" customWidth="1"/>
    <col min="1544" max="1544" width="8.83203125" style="56" customWidth="1"/>
    <col min="1545" max="1545" width="14.83203125" style="56" customWidth="1"/>
    <col min="1546" max="1547" width="6.5" style="56" customWidth="1"/>
    <col min="1548" max="1548" width="14.83203125" style="56" customWidth="1"/>
    <col min="1549" max="1550" width="11.5" style="56" customWidth="1"/>
    <col min="1551" max="1551" width="6.1640625" style="56" customWidth="1"/>
    <col min="1552" max="1552" width="22.83203125" style="56" customWidth="1"/>
    <col min="1553" max="1553" width="11.5" style="56" customWidth="1"/>
    <col min="1554" max="1554" width="13.83203125" style="56" customWidth="1"/>
    <col min="1555" max="1555" width="5.83203125" style="56" customWidth="1"/>
    <col min="1556" max="1556" width="15.5" style="56" customWidth="1"/>
    <col min="1557" max="1797" width="11.5" style="56"/>
    <col min="1798" max="1798" width="0.5" style="56" customWidth="1"/>
    <col min="1799" max="1799" width="3.1640625" style="56" customWidth="1"/>
    <col min="1800" max="1800" width="8.83203125" style="56" customWidth="1"/>
    <col min="1801" max="1801" width="14.83203125" style="56" customWidth="1"/>
    <col min="1802" max="1803" width="6.5" style="56" customWidth="1"/>
    <col min="1804" max="1804" width="14.83203125" style="56" customWidth="1"/>
    <col min="1805" max="1806" width="11.5" style="56" customWidth="1"/>
    <col min="1807" max="1807" width="6.1640625" style="56" customWidth="1"/>
    <col min="1808" max="1808" width="22.83203125" style="56" customWidth="1"/>
    <col min="1809" max="1809" width="11.5" style="56" customWidth="1"/>
    <col min="1810" max="1810" width="13.83203125" style="56" customWidth="1"/>
    <col min="1811" max="1811" width="5.83203125" style="56" customWidth="1"/>
    <col min="1812" max="1812" width="15.5" style="56" customWidth="1"/>
    <col min="1813" max="2053" width="11.5" style="56"/>
    <col min="2054" max="2054" width="0.5" style="56" customWidth="1"/>
    <col min="2055" max="2055" width="3.1640625" style="56" customWidth="1"/>
    <col min="2056" max="2056" width="8.83203125" style="56" customWidth="1"/>
    <col min="2057" max="2057" width="14.83203125" style="56" customWidth="1"/>
    <col min="2058" max="2059" width="6.5" style="56" customWidth="1"/>
    <col min="2060" max="2060" width="14.83203125" style="56" customWidth="1"/>
    <col min="2061" max="2062" width="11.5" style="56" customWidth="1"/>
    <col min="2063" max="2063" width="6.1640625" style="56" customWidth="1"/>
    <col min="2064" max="2064" width="22.83203125" style="56" customWidth="1"/>
    <col min="2065" max="2065" width="11.5" style="56" customWidth="1"/>
    <col min="2066" max="2066" width="13.83203125" style="56" customWidth="1"/>
    <col min="2067" max="2067" width="5.83203125" style="56" customWidth="1"/>
    <col min="2068" max="2068" width="15.5" style="56" customWidth="1"/>
    <col min="2069" max="2309" width="11.5" style="56"/>
    <col min="2310" max="2310" width="0.5" style="56" customWidth="1"/>
    <col min="2311" max="2311" width="3.1640625" style="56" customWidth="1"/>
    <col min="2312" max="2312" width="8.83203125" style="56" customWidth="1"/>
    <col min="2313" max="2313" width="14.83203125" style="56" customWidth="1"/>
    <col min="2314" max="2315" width="6.5" style="56" customWidth="1"/>
    <col min="2316" max="2316" width="14.83203125" style="56" customWidth="1"/>
    <col min="2317" max="2318" width="11.5" style="56" customWidth="1"/>
    <col min="2319" max="2319" width="6.1640625" style="56" customWidth="1"/>
    <col min="2320" max="2320" width="22.83203125" style="56" customWidth="1"/>
    <col min="2321" max="2321" width="11.5" style="56" customWidth="1"/>
    <col min="2322" max="2322" width="13.83203125" style="56" customWidth="1"/>
    <col min="2323" max="2323" width="5.83203125" style="56" customWidth="1"/>
    <col min="2324" max="2324" width="15.5" style="56" customWidth="1"/>
    <col min="2325" max="2565" width="11.5" style="56"/>
    <col min="2566" max="2566" width="0.5" style="56" customWidth="1"/>
    <col min="2567" max="2567" width="3.1640625" style="56" customWidth="1"/>
    <col min="2568" max="2568" width="8.83203125" style="56" customWidth="1"/>
    <col min="2569" max="2569" width="14.83203125" style="56" customWidth="1"/>
    <col min="2570" max="2571" width="6.5" style="56" customWidth="1"/>
    <col min="2572" max="2572" width="14.83203125" style="56" customWidth="1"/>
    <col min="2573" max="2574" width="11.5" style="56" customWidth="1"/>
    <col min="2575" max="2575" width="6.1640625" style="56" customWidth="1"/>
    <col min="2576" max="2576" width="22.83203125" style="56" customWidth="1"/>
    <col min="2577" max="2577" width="11.5" style="56" customWidth="1"/>
    <col min="2578" max="2578" width="13.83203125" style="56" customWidth="1"/>
    <col min="2579" max="2579" width="5.83203125" style="56" customWidth="1"/>
    <col min="2580" max="2580" width="15.5" style="56" customWidth="1"/>
    <col min="2581" max="2821" width="11.5" style="56"/>
    <col min="2822" max="2822" width="0.5" style="56" customWidth="1"/>
    <col min="2823" max="2823" width="3.1640625" style="56" customWidth="1"/>
    <col min="2824" max="2824" width="8.83203125" style="56" customWidth="1"/>
    <col min="2825" max="2825" width="14.83203125" style="56" customWidth="1"/>
    <col min="2826" max="2827" width="6.5" style="56" customWidth="1"/>
    <col min="2828" max="2828" width="14.83203125" style="56" customWidth="1"/>
    <col min="2829" max="2830" width="11.5" style="56" customWidth="1"/>
    <col min="2831" max="2831" width="6.1640625" style="56" customWidth="1"/>
    <col min="2832" max="2832" width="22.83203125" style="56" customWidth="1"/>
    <col min="2833" max="2833" width="11.5" style="56" customWidth="1"/>
    <col min="2834" max="2834" width="13.83203125" style="56" customWidth="1"/>
    <col min="2835" max="2835" width="5.83203125" style="56" customWidth="1"/>
    <col min="2836" max="2836" width="15.5" style="56" customWidth="1"/>
    <col min="2837" max="3077" width="11.5" style="56"/>
    <col min="3078" max="3078" width="0.5" style="56" customWidth="1"/>
    <col min="3079" max="3079" width="3.1640625" style="56" customWidth="1"/>
    <col min="3080" max="3080" width="8.83203125" style="56" customWidth="1"/>
    <col min="3081" max="3081" width="14.83203125" style="56" customWidth="1"/>
    <col min="3082" max="3083" width="6.5" style="56" customWidth="1"/>
    <col min="3084" max="3084" width="14.83203125" style="56" customWidth="1"/>
    <col min="3085" max="3086" width="11.5" style="56" customWidth="1"/>
    <col min="3087" max="3087" width="6.1640625" style="56" customWidth="1"/>
    <col min="3088" max="3088" width="22.83203125" style="56" customWidth="1"/>
    <col min="3089" max="3089" width="11.5" style="56" customWidth="1"/>
    <col min="3090" max="3090" width="13.83203125" style="56" customWidth="1"/>
    <col min="3091" max="3091" width="5.83203125" style="56" customWidth="1"/>
    <col min="3092" max="3092" width="15.5" style="56" customWidth="1"/>
    <col min="3093" max="3333" width="11.5" style="56"/>
    <col min="3334" max="3334" width="0.5" style="56" customWidth="1"/>
    <col min="3335" max="3335" width="3.1640625" style="56" customWidth="1"/>
    <col min="3336" max="3336" width="8.83203125" style="56" customWidth="1"/>
    <col min="3337" max="3337" width="14.83203125" style="56" customWidth="1"/>
    <col min="3338" max="3339" width="6.5" style="56" customWidth="1"/>
    <col min="3340" max="3340" width="14.83203125" style="56" customWidth="1"/>
    <col min="3341" max="3342" width="11.5" style="56" customWidth="1"/>
    <col min="3343" max="3343" width="6.1640625" style="56" customWidth="1"/>
    <col min="3344" max="3344" width="22.83203125" style="56" customWidth="1"/>
    <col min="3345" max="3345" width="11.5" style="56" customWidth="1"/>
    <col min="3346" max="3346" width="13.83203125" style="56" customWidth="1"/>
    <col min="3347" max="3347" width="5.83203125" style="56" customWidth="1"/>
    <col min="3348" max="3348" width="15.5" style="56" customWidth="1"/>
    <col min="3349" max="3589" width="11.5" style="56"/>
    <col min="3590" max="3590" width="0.5" style="56" customWidth="1"/>
    <col min="3591" max="3591" width="3.1640625" style="56" customWidth="1"/>
    <col min="3592" max="3592" width="8.83203125" style="56" customWidth="1"/>
    <col min="3593" max="3593" width="14.83203125" style="56" customWidth="1"/>
    <col min="3594" max="3595" width="6.5" style="56" customWidth="1"/>
    <col min="3596" max="3596" width="14.83203125" style="56" customWidth="1"/>
    <col min="3597" max="3598" width="11.5" style="56" customWidth="1"/>
    <col min="3599" max="3599" width="6.1640625" style="56" customWidth="1"/>
    <col min="3600" max="3600" width="22.83203125" style="56" customWidth="1"/>
    <col min="3601" max="3601" width="11.5" style="56" customWidth="1"/>
    <col min="3602" max="3602" width="13.83203125" style="56" customWidth="1"/>
    <col min="3603" max="3603" width="5.83203125" style="56" customWidth="1"/>
    <col min="3604" max="3604" width="15.5" style="56" customWidth="1"/>
    <col min="3605" max="3845" width="11.5" style="56"/>
    <col min="3846" max="3846" width="0.5" style="56" customWidth="1"/>
    <col min="3847" max="3847" width="3.1640625" style="56" customWidth="1"/>
    <col min="3848" max="3848" width="8.83203125" style="56" customWidth="1"/>
    <col min="3849" max="3849" width="14.83203125" style="56" customWidth="1"/>
    <col min="3850" max="3851" width="6.5" style="56" customWidth="1"/>
    <col min="3852" max="3852" width="14.83203125" style="56" customWidth="1"/>
    <col min="3853" max="3854" width="11.5" style="56" customWidth="1"/>
    <col min="3855" max="3855" width="6.1640625" style="56" customWidth="1"/>
    <col min="3856" max="3856" width="22.83203125" style="56" customWidth="1"/>
    <col min="3857" max="3857" width="11.5" style="56" customWidth="1"/>
    <col min="3858" max="3858" width="13.83203125" style="56" customWidth="1"/>
    <col min="3859" max="3859" width="5.83203125" style="56" customWidth="1"/>
    <col min="3860" max="3860" width="15.5" style="56" customWidth="1"/>
    <col min="3861" max="4101" width="11.5" style="56"/>
    <col min="4102" max="4102" width="0.5" style="56" customWidth="1"/>
    <col min="4103" max="4103" width="3.1640625" style="56" customWidth="1"/>
    <col min="4104" max="4104" width="8.83203125" style="56" customWidth="1"/>
    <col min="4105" max="4105" width="14.83203125" style="56" customWidth="1"/>
    <col min="4106" max="4107" width="6.5" style="56" customWidth="1"/>
    <col min="4108" max="4108" width="14.83203125" style="56" customWidth="1"/>
    <col min="4109" max="4110" width="11.5" style="56" customWidth="1"/>
    <col min="4111" max="4111" width="6.1640625" style="56" customWidth="1"/>
    <col min="4112" max="4112" width="22.83203125" style="56" customWidth="1"/>
    <col min="4113" max="4113" width="11.5" style="56" customWidth="1"/>
    <col min="4114" max="4114" width="13.83203125" style="56" customWidth="1"/>
    <col min="4115" max="4115" width="5.83203125" style="56" customWidth="1"/>
    <col min="4116" max="4116" width="15.5" style="56" customWidth="1"/>
    <col min="4117" max="4357" width="11.5" style="56"/>
    <col min="4358" max="4358" width="0.5" style="56" customWidth="1"/>
    <col min="4359" max="4359" width="3.1640625" style="56" customWidth="1"/>
    <col min="4360" max="4360" width="8.83203125" style="56" customWidth="1"/>
    <col min="4361" max="4361" width="14.83203125" style="56" customWidth="1"/>
    <col min="4362" max="4363" width="6.5" style="56" customWidth="1"/>
    <col min="4364" max="4364" width="14.83203125" style="56" customWidth="1"/>
    <col min="4365" max="4366" width="11.5" style="56" customWidth="1"/>
    <col min="4367" max="4367" width="6.1640625" style="56" customWidth="1"/>
    <col min="4368" max="4368" width="22.83203125" style="56" customWidth="1"/>
    <col min="4369" max="4369" width="11.5" style="56" customWidth="1"/>
    <col min="4370" max="4370" width="13.83203125" style="56" customWidth="1"/>
    <col min="4371" max="4371" width="5.83203125" style="56" customWidth="1"/>
    <col min="4372" max="4372" width="15.5" style="56" customWidth="1"/>
    <col min="4373" max="4613" width="11.5" style="56"/>
    <col min="4614" max="4614" width="0.5" style="56" customWidth="1"/>
    <col min="4615" max="4615" width="3.1640625" style="56" customWidth="1"/>
    <col min="4616" max="4616" width="8.83203125" style="56" customWidth="1"/>
    <col min="4617" max="4617" width="14.83203125" style="56" customWidth="1"/>
    <col min="4618" max="4619" width="6.5" style="56" customWidth="1"/>
    <col min="4620" max="4620" width="14.83203125" style="56" customWidth="1"/>
    <col min="4621" max="4622" width="11.5" style="56" customWidth="1"/>
    <col min="4623" max="4623" width="6.1640625" style="56" customWidth="1"/>
    <col min="4624" max="4624" width="22.83203125" style="56" customWidth="1"/>
    <col min="4625" max="4625" width="11.5" style="56" customWidth="1"/>
    <col min="4626" max="4626" width="13.83203125" style="56" customWidth="1"/>
    <col min="4627" max="4627" width="5.83203125" style="56" customWidth="1"/>
    <col min="4628" max="4628" width="15.5" style="56" customWidth="1"/>
    <col min="4629" max="4869" width="11.5" style="56"/>
    <col min="4870" max="4870" width="0.5" style="56" customWidth="1"/>
    <col min="4871" max="4871" width="3.1640625" style="56" customWidth="1"/>
    <col min="4872" max="4872" width="8.83203125" style="56" customWidth="1"/>
    <col min="4873" max="4873" width="14.83203125" style="56" customWidth="1"/>
    <col min="4874" max="4875" width="6.5" style="56" customWidth="1"/>
    <col min="4876" max="4876" width="14.83203125" style="56" customWidth="1"/>
    <col min="4877" max="4878" width="11.5" style="56" customWidth="1"/>
    <col min="4879" max="4879" width="6.1640625" style="56" customWidth="1"/>
    <col min="4880" max="4880" width="22.83203125" style="56" customWidth="1"/>
    <col min="4881" max="4881" width="11.5" style="56" customWidth="1"/>
    <col min="4882" max="4882" width="13.83203125" style="56" customWidth="1"/>
    <col min="4883" max="4883" width="5.83203125" style="56" customWidth="1"/>
    <col min="4884" max="4884" width="15.5" style="56" customWidth="1"/>
    <col min="4885" max="5125" width="11.5" style="56"/>
    <col min="5126" max="5126" width="0.5" style="56" customWidth="1"/>
    <col min="5127" max="5127" width="3.1640625" style="56" customWidth="1"/>
    <col min="5128" max="5128" width="8.83203125" style="56" customWidth="1"/>
    <col min="5129" max="5129" width="14.83203125" style="56" customWidth="1"/>
    <col min="5130" max="5131" width="6.5" style="56" customWidth="1"/>
    <col min="5132" max="5132" width="14.83203125" style="56" customWidth="1"/>
    <col min="5133" max="5134" width="11.5" style="56" customWidth="1"/>
    <col min="5135" max="5135" width="6.1640625" style="56" customWidth="1"/>
    <col min="5136" max="5136" width="22.83203125" style="56" customWidth="1"/>
    <col min="5137" max="5137" width="11.5" style="56" customWidth="1"/>
    <col min="5138" max="5138" width="13.83203125" style="56" customWidth="1"/>
    <col min="5139" max="5139" width="5.83203125" style="56" customWidth="1"/>
    <col min="5140" max="5140" width="15.5" style="56" customWidth="1"/>
    <col min="5141" max="5381" width="11.5" style="56"/>
    <col min="5382" max="5382" width="0.5" style="56" customWidth="1"/>
    <col min="5383" max="5383" width="3.1640625" style="56" customWidth="1"/>
    <col min="5384" max="5384" width="8.83203125" style="56" customWidth="1"/>
    <col min="5385" max="5385" width="14.83203125" style="56" customWidth="1"/>
    <col min="5386" max="5387" width="6.5" style="56" customWidth="1"/>
    <col min="5388" max="5388" width="14.83203125" style="56" customWidth="1"/>
    <col min="5389" max="5390" width="11.5" style="56" customWidth="1"/>
    <col min="5391" max="5391" width="6.1640625" style="56" customWidth="1"/>
    <col min="5392" max="5392" width="22.83203125" style="56" customWidth="1"/>
    <col min="5393" max="5393" width="11.5" style="56" customWidth="1"/>
    <col min="5394" max="5394" width="13.83203125" style="56" customWidth="1"/>
    <col min="5395" max="5395" width="5.83203125" style="56" customWidth="1"/>
    <col min="5396" max="5396" width="15.5" style="56" customWidth="1"/>
    <col min="5397" max="5637" width="11.5" style="56"/>
    <col min="5638" max="5638" width="0.5" style="56" customWidth="1"/>
    <col min="5639" max="5639" width="3.1640625" style="56" customWidth="1"/>
    <col min="5640" max="5640" width="8.83203125" style="56" customWidth="1"/>
    <col min="5641" max="5641" width="14.83203125" style="56" customWidth="1"/>
    <col min="5642" max="5643" width="6.5" style="56" customWidth="1"/>
    <col min="5644" max="5644" width="14.83203125" style="56" customWidth="1"/>
    <col min="5645" max="5646" width="11.5" style="56" customWidth="1"/>
    <col min="5647" max="5647" width="6.1640625" style="56" customWidth="1"/>
    <col min="5648" max="5648" width="22.83203125" style="56" customWidth="1"/>
    <col min="5649" max="5649" width="11.5" style="56" customWidth="1"/>
    <col min="5650" max="5650" width="13.83203125" style="56" customWidth="1"/>
    <col min="5651" max="5651" width="5.83203125" style="56" customWidth="1"/>
    <col min="5652" max="5652" width="15.5" style="56" customWidth="1"/>
    <col min="5653" max="5893" width="11.5" style="56"/>
    <col min="5894" max="5894" width="0.5" style="56" customWidth="1"/>
    <col min="5895" max="5895" width="3.1640625" style="56" customWidth="1"/>
    <col min="5896" max="5896" width="8.83203125" style="56" customWidth="1"/>
    <col min="5897" max="5897" width="14.83203125" style="56" customWidth="1"/>
    <col min="5898" max="5899" width="6.5" style="56" customWidth="1"/>
    <col min="5900" max="5900" width="14.83203125" style="56" customWidth="1"/>
    <col min="5901" max="5902" width="11.5" style="56" customWidth="1"/>
    <col min="5903" max="5903" width="6.1640625" style="56" customWidth="1"/>
    <col min="5904" max="5904" width="22.83203125" style="56" customWidth="1"/>
    <col min="5905" max="5905" width="11.5" style="56" customWidth="1"/>
    <col min="5906" max="5906" width="13.83203125" style="56" customWidth="1"/>
    <col min="5907" max="5907" width="5.83203125" style="56" customWidth="1"/>
    <col min="5908" max="5908" width="15.5" style="56" customWidth="1"/>
    <col min="5909" max="6149" width="11.5" style="56"/>
    <col min="6150" max="6150" width="0.5" style="56" customWidth="1"/>
    <col min="6151" max="6151" width="3.1640625" style="56" customWidth="1"/>
    <col min="6152" max="6152" width="8.83203125" style="56" customWidth="1"/>
    <col min="6153" max="6153" width="14.83203125" style="56" customWidth="1"/>
    <col min="6154" max="6155" width="6.5" style="56" customWidth="1"/>
    <col min="6156" max="6156" width="14.83203125" style="56" customWidth="1"/>
    <col min="6157" max="6158" width="11.5" style="56" customWidth="1"/>
    <col min="6159" max="6159" width="6.1640625" style="56" customWidth="1"/>
    <col min="6160" max="6160" width="22.83203125" style="56" customWidth="1"/>
    <col min="6161" max="6161" width="11.5" style="56" customWidth="1"/>
    <col min="6162" max="6162" width="13.83203125" style="56" customWidth="1"/>
    <col min="6163" max="6163" width="5.83203125" style="56" customWidth="1"/>
    <col min="6164" max="6164" width="15.5" style="56" customWidth="1"/>
    <col min="6165" max="6405" width="11.5" style="56"/>
    <col min="6406" max="6406" width="0.5" style="56" customWidth="1"/>
    <col min="6407" max="6407" width="3.1640625" style="56" customWidth="1"/>
    <col min="6408" max="6408" width="8.83203125" style="56" customWidth="1"/>
    <col min="6409" max="6409" width="14.83203125" style="56" customWidth="1"/>
    <col min="6410" max="6411" width="6.5" style="56" customWidth="1"/>
    <col min="6412" max="6412" width="14.83203125" style="56" customWidth="1"/>
    <col min="6413" max="6414" width="11.5" style="56" customWidth="1"/>
    <col min="6415" max="6415" width="6.1640625" style="56" customWidth="1"/>
    <col min="6416" max="6416" width="22.83203125" style="56" customWidth="1"/>
    <col min="6417" max="6417" width="11.5" style="56" customWidth="1"/>
    <col min="6418" max="6418" width="13.83203125" style="56" customWidth="1"/>
    <col min="6419" max="6419" width="5.83203125" style="56" customWidth="1"/>
    <col min="6420" max="6420" width="15.5" style="56" customWidth="1"/>
    <col min="6421" max="6661" width="11.5" style="56"/>
    <col min="6662" max="6662" width="0.5" style="56" customWidth="1"/>
    <col min="6663" max="6663" width="3.1640625" style="56" customWidth="1"/>
    <col min="6664" max="6664" width="8.83203125" style="56" customWidth="1"/>
    <col min="6665" max="6665" width="14.83203125" style="56" customWidth="1"/>
    <col min="6666" max="6667" width="6.5" style="56" customWidth="1"/>
    <col min="6668" max="6668" width="14.83203125" style="56" customWidth="1"/>
    <col min="6669" max="6670" width="11.5" style="56" customWidth="1"/>
    <col min="6671" max="6671" width="6.1640625" style="56" customWidth="1"/>
    <col min="6672" max="6672" width="22.83203125" style="56" customWidth="1"/>
    <col min="6673" max="6673" width="11.5" style="56" customWidth="1"/>
    <col min="6674" max="6674" width="13.83203125" style="56" customWidth="1"/>
    <col min="6675" max="6675" width="5.83203125" style="56" customWidth="1"/>
    <col min="6676" max="6676" width="15.5" style="56" customWidth="1"/>
    <col min="6677" max="6917" width="11.5" style="56"/>
    <col min="6918" max="6918" width="0.5" style="56" customWidth="1"/>
    <col min="6919" max="6919" width="3.1640625" style="56" customWidth="1"/>
    <col min="6920" max="6920" width="8.83203125" style="56" customWidth="1"/>
    <col min="6921" max="6921" width="14.83203125" style="56" customWidth="1"/>
    <col min="6922" max="6923" width="6.5" style="56" customWidth="1"/>
    <col min="6924" max="6924" width="14.83203125" style="56" customWidth="1"/>
    <col min="6925" max="6926" width="11.5" style="56" customWidth="1"/>
    <col min="6927" max="6927" width="6.1640625" style="56" customWidth="1"/>
    <col min="6928" max="6928" width="22.83203125" style="56" customWidth="1"/>
    <col min="6929" max="6929" width="11.5" style="56" customWidth="1"/>
    <col min="6930" max="6930" width="13.83203125" style="56" customWidth="1"/>
    <col min="6931" max="6931" width="5.83203125" style="56" customWidth="1"/>
    <col min="6932" max="6932" width="15.5" style="56" customWidth="1"/>
    <col min="6933" max="7173" width="11.5" style="56"/>
    <col min="7174" max="7174" width="0.5" style="56" customWidth="1"/>
    <col min="7175" max="7175" width="3.1640625" style="56" customWidth="1"/>
    <col min="7176" max="7176" width="8.83203125" style="56" customWidth="1"/>
    <col min="7177" max="7177" width="14.83203125" style="56" customWidth="1"/>
    <col min="7178" max="7179" width="6.5" style="56" customWidth="1"/>
    <col min="7180" max="7180" width="14.83203125" style="56" customWidth="1"/>
    <col min="7181" max="7182" width="11.5" style="56" customWidth="1"/>
    <col min="7183" max="7183" width="6.1640625" style="56" customWidth="1"/>
    <col min="7184" max="7184" width="22.83203125" style="56" customWidth="1"/>
    <col min="7185" max="7185" width="11.5" style="56" customWidth="1"/>
    <col min="7186" max="7186" width="13.83203125" style="56" customWidth="1"/>
    <col min="7187" max="7187" width="5.83203125" style="56" customWidth="1"/>
    <col min="7188" max="7188" width="15.5" style="56" customWidth="1"/>
    <col min="7189" max="7429" width="11.5" style="56"/>
    <col min="7430" max="7430" width="0.5" style="56" customWidth="1"/>
    <col min="7431" max="7431" width="3.1640625" style="56" customWidth="1"/>
    <col min="7432" max="7432" width="8.83203125" style="56" customWidth="1"/>
    <col min="7433" max="7433" width="14.83203125" style="56" customWidth="1"/>
    <col min="7434" max="7435" width="6.5" style="56" customWidth="1"/>
    <col min="7436" max="7436" width="14.83203125" style="56" customWidth="1"/>
    <col min="7437" max="7438" width="11.5" style="56" customWidth="1"/>
    <col min="7439" max="7439" width="6.1640625" style="56" customWidth="1"/>
    <col min="7440" max="7440" width="22.83203125" style="56" customWidth="1"/>
    <col min="7441" max="7441" width="11.5" style="56" customWidth="1"/>
    <col min="7442" max="7442" width="13.83203125" style="56" customWidth="1"/>
    <col min="7443" max="7443" width="5.83203125" style="56" customWidth="1"/>
    <col min="7444" max="7444" width="15.5" style="56" customWidth="1"/>
    <col min="7445" max="7685" width="11.5" style="56"/>
    <col min="7686" max="7686" width="0.5" style="56" customWidth="1"/>
    <col min="7687" max="7687" width="3.1640625" style="56" customWidth="1"/>
    <col min="7688" max="7688" width="8.83203125" style="56" customWidth="1"/>
    <col min="7689" max="7689" width="14.83203125" style="56" customWidth="1"/>
    <col min="7690" max="7691" width="6.5" style="56" customWidth="1"/>
    <col min="7692" max="7692" width="14.83203125" style="56" customWidth="1"/>
    <col min="7693" max="7694" width="11.5" style="56" customWidth="1"/>
    <col min="7695" max="7695" width="6.1640625" style="56" customWidth="1"/>
    <col min="7696" max="7696" width="22.83203125" style="56" customWidth="1"/>
    <col min="7697" max="7697" width="11.5" style="56" customWidth="1"/>
    <col min="7698" max="7698" width="13.83203125" style="56" customWidth="1"/>
    <col min="7699" max="7699" width="5.83203125" style="56" customWidth="1"/>
    <col min="7700" max="7700" width="15.5" style="56" customWidth="1"/>
    <col min="7701" max="7941" width="11.5" style="56"/>
    <col min="7942" max="7942" width="0.5" style="56" customWidth="1"/>
    <col min="7943" max="7943" width="3.1640625" style="56" customWidth="1"/>
    <col min="7944" max="7944" width="8.83203125" style="56" customWidth="1"/>
    <col min="7945" max="7945" width="14.83203125" style="56" customWidth="1"/>
    <col min="7946" max="7947" width="6.5" style="56" customWidth="1"/>
    <col min="7948" max="7948" width="14.83203125" style="56" customWidth="1"/>
    <col min="7949" max="7950" width="11.5" style="56" customWidth="1"/>
    <col min="7951" max="7951" width="6.1640625" style="56" customWidth="1"/>
    <col min="7952" max="7952" width="22.83203125" style="56" customWidth="1"/>
    <col min="7953" max="7953" width="11.5" style="56" customWidth="1"/>
    <col min="7954" max="7954" width="13.83203125" style="56" customWidth="1"/>
    <col min="7955" max="7955" width="5.83203125" style="56" customWidth="1"/>
    <col min="7956" max="7956" width="15.5" style="56" customWidth="1"/>
    <col min="7957" max="8197" width="11.5" style="56"/>
    <col min="8198" max="8198" width="0.5" style="56" customWidth="1"/>
    <col min="8199" max="8199" width="3.1640625" style="56" customWidth="1"/>
    <col min="8200" max="8200" width="8.83203125" style="56" customWidth="1"/>
    <col min="8201" max="8201" width="14.83203125" style="56" customWidth="1"/>
    <col min="8202" max="8203" width="6.5" style="56" customWidth="1"/>
    <col min="8204" max="8204" width="14.83203125" style="56" customWidth="1"/>
    <col min="8205" max="8206" width="11.5" style="56" customWidth="1"/>
    <col min="8207" max="8207" width="6.1640625" style="56" customWidth="1"/>
    <col min="8208" max="8208" width="22.83203125" style="56" customWidth="1"/>
    <col min="8209" max="8209" width="11.5" style="56" customWidth="1"/>
    <col min="8210" max="8210" width="13.83203125" style="56" customWidth="1"/>
    <col min="8211" max="8211" width="5.83203125" style="56" customWidth="1"/>
    <col min="8212" max="8212" width="15.5" style="56" customWidth="1"/>
    <col min="8213" max="8453" width="11.5" style="56"/>
    <col min="8454" max="8454" width="0.5" style="56" customWidth="1"/>
    <col min="8455" max="8455" width="3.1640625" style="56" customWidth="1"/>
    <col min="8456" max="8456" width="8.83203125" style="56" customWidth="1"/>
    <col min="8457" max="8457" width="14.83203125" style="56" customWidth="1"/>
    <col min="8458" max="8459" width="6.5" style="56" customWidth="1"/>
    <col min="8460" max="8460" width="14.83203125" style="56" customWidth="1"/>
    <col min="8461" max="8462" width="11.5" style="56" customWidth="1"/>
    <col min="8463" max="8463" width="6.1640625" style="56" customWidth="1"/>
    <col min="8464" max="8464" width="22.83203125" style="56" customWidth="1"/>
    <col min="8465" max="8465" width="11.5" style="56" customWidth="1"/>
    <col min="8466" max="8466" width="13.83203125" style="56" customWidth="1"/>
    <col min="8467" max="8467" width="5.83203125" style="56" customWidth="1"/>
    <col min="8468" max="8468" width="15.5" style="56" customWidth="1"/>
    <col min="8469" max="8709" width="11.5" style="56"/>
    <col min="8710" max="8710" width="0.5" style="56" customWidth="1"/>
    <col min="8711" max="8711" width="3.1640625" style="56" customWidth="1"/>
    <col min="8712" max="8712" width="8.83203125" style="56" customWidth="1"/>
    <col min="8713" max="8713" width="14.83203125" style="56" customWidth="1"/>
    <col min="8714" max="8715" width="6.5" style="56" customWidth="1"/>
    <col min="8716" max="8716" width="14.83203125" style="56" customWidth="1"/>
    <col min="8717" max="8718" width="11.5" style="56" customWidth="1"/>
    <col min="8719" max="8719" width="6.1640625" style="56" customWidth="1"/>
    <col min="8720" max="8720" width="22.83203125" style="56" customWidth="1"/>
    <col min="8721" max="8721" width="11.5" style="56" customWidth="1"/>
    <col min="8722" max="8722" width="13.83203125" style="56" customWidth="1"/>
    <col min="8723" max="8723" width="5.83203125" style="56" customWidth="1"/>
    <col min="8724" max="8724" width="15.5" style="56" customWidth="1"/>
    <col min="8725" max="8965" width="11.5" style="56"/>
    <col min="8966" max="8966" width="0.5" style="56" customWidth="1"/>
    <col min="8967" max="8967" width="3.1640625" style="56" customWidth="1"/>
    <col min="8968" max="8968" width="8.83203125" style="56" customWidth="1"/>
    <col min="8969" max="8969" width="14.83203125" style="56" customWidth="1"/>
    <col min="8970" max="8971" width="6.5" style="56" customWidth="1"/>
    <col min="8972" max="8972" width="14.83203125" style="56" customWidth="1"/>
    <col min="8973" max="8974" width="11.5" style="56" customWidth="1"/>
    <col min="8975" max="8975" width="6.1640625" style="56" customWidth="1"/>
    <col min="8976" max="8976" width="22.83203125" style="56" customWidth="1"/>
    <col min="8977" max="8977" width="11.5" style="56" customWidth="1"/>
    <col min="8978" max="8978" width="13.83203125" style="56" customWidth="1"/>
    <col min="8979" max="8979" width="5.83203125" style="56" customWidth="1"/>
    <col min="8980" max="8980" width="15.5" style="56" customWidth="1"/>
    <col min="8981" max="9221" width="11.5" style="56"/>
    <col min="9222" max="9222" width="0.5" style="56" customWidth="1"/>
    <col min="9223" max="9223" width="3.1640625" style="56" customWidth="1"/>
    <col min="9224" max="9224" width="8.83203125" style="56" customWidth="1"/>
    <col min="9225" max="9225" width="14.83203125" style="56" customWidth="1"/>
    <col min="9226" max="9227" width="6.5" style="56" customWidth="1"/>
    <col min="9228" max="9228" width="14.83203125" style="56" customWidth="1"/>
    <col min="9229" max="9230" width="11.5" style="56" customWidth="1"/>
    <col min="9231" max="9231" width="6.1640625" style="56" customWidth="1"/>
    <col min="9232" max="9232" width="22.83203125" style="56" customWidth="1"/>
    <col min="9233" max="9233" width="11.5" style="56" customWidth="1"/>
    <col min="9234" max="9234" width="13.83203125" style="56" customWidth="1"/>
    <col min="9235" max="9235" width="5.83203125" style="56" customWidth="1"/>
    <col min="9236" max="9236" width="15.5" style="56" customWidth="1"/>
    <col min="9237" max="9477" width="11.5" style="56"/>
    <col min="9478" max="9478" width="0.5" style="56" customWidth="1"/>
    <col min="9479" max="9479" width="3.1640625" style="56" customWidth="1"/>
    <col min="9480" max="9480" width="8.83203125" style="56" customWidth="1"/>
    <col min="9481" max="9481" width="14.83203125" style="56" customWidth="1"/>
    <col min="9482" max="9483" width="6.5" style="56" customWidth="1"/>
    <col min="9484" max="9484" width="14.83203125" style="56" customWidth="1"/>
    <col min="9485" max="9486" width="11.5" style="56" customWidth="1"/>
    <col min="9487" max="9487" width="6.1640625" style="56" customWidth="1"/>
    <col min="9488" max="9488" width="22.83203125" style="56" customWidth="1"/>
    <col min="9489" max="9489" width="11.5" style="56" customWidth="1"/>
    <col min="9490" max="9490" width="13.83203125" style="56" customWidth="1"/>
    <col min="9491" max="9491" width="5.83203125" style="56" customWidth="1"/>
    <col min="9492" max="9492" width="15.5" style="56" customWidth="1"/>
    <col min="9493" max="9733" width="11.5" style="56"/>
    <col min="9734" max="9734" width="0.5" style="56" customWidth="1"/>
    <col min="9735" max="9735" width="3.1640625" style="56" customWidth="1"/>
    <col min="9736" max="9736" width="8.83203125" style="56" customWidth="1"/>
    <col min="9737" max="9737" width="14.83203125" style="56" customWidth="1"/>
    <col min="9738" max="9739" width="6.5" style="56" customWidth="1"/>
    <col min="9740" max="9740" width="14.83203125" style="56" customWidth="1"/>
    <col min="9741" max="9742" width="11.5" style="56" customWidth="1"/>
    <col min="9743" max="9743" width="6.1640625" style="56" customWidth="1"/>
    <col min="9744" max="9744" width="22.83203125" style="56" customWidth="1"/>
    <col min="9745" max="9745" width="11.5" style="56" customWidth="1"/>
    <col min="9746" max="9746" width="13.83203125" style="56" customWidth="1"/>
    <col min="9747" max="9747" width="5.83203125" style="56" customWidth="1"/>
    <col min="9748" max="9748" width="15.5" style="56" customWidth="1"/>
    <col min="9749" max="9989" width="11.5" style="56"/>
    <col min="9990" max="9990" width="0.5" style="56" customWidth="1"/>
    <col min="9991" max="9991" width="3.1640625" style="56" customWidth="1"/>
    <col min="9992" max="9992" width="8.83203125" style="56" customWidth="1"/>
    <col min="9993" max="9993" width="14.83203125" style="56" customWidth="1"/>
    <col min="9994" max="9995" width="6.5" style="56" customWidth="1"/>
    <col min="9996" max="9996" width="14.83203125" style="56" customWidth="1"/>
    <col min="9997" max="9998" width="11.5" style="56" customWidth="1"/>
    <col min="9999" max="9999" width="6.1640625" style="56" customWidth="1"/>
    <col min="10000" max="10000" width="22.83203125" style="56" customWidth="1"/>
    <col min="10001" max="10001" width="11.5" style="56" customWidth="1"/>
    <col min="10002" max="10002" width="13.83203125" style="56" customWidth="1"/>
    <col min="10003" max="10003" width="5.83203125" style="56" customWidth="1"/>
    <col min="10004" max="10004" width="15.5" style="56" customWidth="1"/>
    <col min="10005" max="10245" width="11.5" style="56"/>
    <col min="10246" max="10246" width="0.5" style="56" customWidth="1"/>
    <col min="10247" max="10247" width="3.1640625" style="56" customWidth="1"/>
    <col min="10248" max="10248" width="8.83203125" style="56" customWidth="1"/>
    <col min="10249" max="10249" width="14.83203125" style="56" customWidth="1"/>
    <col min="10250" max="10251" width="6.5" style="56" customWidth="1"/>
    <col min="10252" max="10252" width="14.83203125" style="56" customWidth="1"/>
    <col min="10253" max="10254" width="11.5" style="56" customWidth="1"/>
    <col min="10255" max="10255" width="6.1640625" style="56" customWidth="1"/>
    <col min="10256" max="10256" width="22.83203125" style="56" customWidth="1"/>
    <col min="10257" max="10257" width="11.5" style="56" customWidth="1"/>
    <col min="10258" max="10258" width="13.83203125" style="56" customWidth="1"/>
    <col min="10259" max="10259" width="5.83203125" style="56" customWidth="1"/>
    <col min="10260" max="10260" width="15.5" style="56" customWidth="1"/>
    <col min="10261" max="10501" width="11.5" style="56"/>
    <col min="10502" max="10502" width="0.5" style="56" customWidth="1"/>
    <col min="10503" max="10503" width="3.1640625" style="56" customWidth="1"/>
    <col min="10504" max="10504" width="8.83203125" style="56" customWidth="1"/>
    <col min="10505" max="10505" width="14.83203125" style="56" customWidth="1"/>
    <col min="10506" max="10507" width="6.5" style="56" customWidth="1"/>
    <col min="10508" max="10508" width="14.83203125" style="56" customWidth="1"/>
    <col min="10509" max="10510" width="11.5" style="56" customWidth="1"/>
    <col min="10511" max="10511" width="6.1640625" style="56" customWidth="1"/>
    <col min="10512" max="10512" width="22.83203125" style="56" customWidth="1"/>
    <col min="10513" max="10513" width="11.5" style="56" customWidth="1"/>
    <col min="10514" max="10514" width="13.83203125" style="56" customWidth="1"/>
    <col min="10515" max="10515" width="5.83203125" style="56" customWidth="1"/>
    <col min="10516" max="10516" width="15.5" style="56" customWidth="1"/>
    <col min="10517" max="10757" width="11.5" style="56"/>
    <col min="10758" max="10758" width="0.5" style="56" customWidth="1"/>
    <col min="10759" max="10759" width="3.1640625" style="56" customWidth="1"/>
    <col min="10760" max="10760" width="8.83203125" style="56" customWidth="1"/>
    <col min="10761" max="10761" width="14.83203125" style="56" customWidth="1"/>
    <col min="10762" max="10763" width="6.5" style="56" customWidth="1"/>
    <col min="10764" max="10764" width="14.83203125" style="56" customWidth="1"/>
    <col min="10765" max="10766" width="11.5" style="56" customWidth="1"/>
    <col min="10767" max="10767" width="6.1640625" style="56" customWidth="1"/>
    <col min="10768" max="10768" width="22.83203125" style="56" customWidth="1"/>
    <col min="10769" max="10769" width="11.5" style="56" customWidth="1"/>
    <col min="10770" max="10770" width="13.83203125" style="56" customWidth="1"/>
    <col min="10771" max="10771" width="5.83203125" style="56" customWidth="1"/>
    <col min="10772" max="10772" width="15.5" style="56" customWidth="1"/>
    <col min="10773" max="11013" width="11.5" style="56"/>
    <col min="11014" max="11014" width="0.5" style="56" customWidth="1"/>
    <col min="11015" max="11015" width="3.1640625" style="56" customWidth="1"/>
    <col min="11016" max="11016" width="8.83203125" style="56" customWidth="1"/>
    <col min="11017" max="11017" width="14.83203125" style="56" customWidth="1"/>
    <col min="11018" max="11019" width="6.5" style="56" customWidth="1"/>
    <col min="11020" max="11020" width="14.83203125" style="56" customWidth="1"/>
    <col min="11021" max="11022" width="11.5" style="56" customWidth="1"/>
    <col min="11023" max="11023" width="6.1640625" style="56" customWidth="1"/>
    <col min="11024" max="11024" width="22.83203125" style="56" customWidth="1"/>
    <col min="11025" max="11025" width="11.5" style="56" customWidth="1"/>
    <col min="11026" max="11026" width="13.83203125" style="56" customWidth="1"/>
    <col min="11027" max="11027" width="5.83203125" style="56" customWidth="1"/>
    <col min="11028" max="11028" width="15.5" style="56" customWidth="1"/>
    <col min="11029" max="11269" width="11.5" style="56"/>
    <col min="11270" max="11270" width="0.5" style="56" customWidth="1"/>
    <col min="11271" max="11271" width="3.1640625" style="56" customWidth="1"/>
    <col min="11272" max="11272" width="8.83203125" style="56" customWidth="1"/>
    <col min="11273" max="11273" width="14.83203125" style="56" customWidth="1"/>
    <col min="11274" max="11275" width="6.5" style="56" customWidth="1"/>
    <col min="11276" max="11276" width="14.83203125" style="56" customWidth="1"/>
    <col min="11277" max="11278" width="11.5" style="56" customWidth="1"/>
    <col min="11279" max="11279" width="6.1640625" style="56" customWidth="1"/>
    <col min="11280" max="11280" width="22.83203125" style="56" customWidth="1"/>
    <col min="11281" max="11281" width="11.5" style="56" customWidth="1"/>
    <col min="11282" max="11282" width="13.83203125" style="56" customWidth="1"/>
    <col min="11283" max="11283" width="5.83203125" style="56" customWidth="1"/>
    <col min="11284" max="11284" width="15.5" style="56" customWidth="1"/>
    <col min="11285" max="11525" width="11.5" style="56"/>
    <col min="11526" max="11526" width="0.5" style="56" customWidth="1"/>
    <col min="11527" max="11527" width="3.1640625" style="56" customWidth="1"/>
    <col min="11528" max="11528" width="8.83203125" style="56" customWidth="1"/>
    <col min="11529" max="11529" width="14.83203125" style="56" customWidth="1"/>
    <col min="11530" max="11531" width="6.5" style="56" customWidth="1"/>
    <col min="11532" max="11532" width="14.83203125" style="56" customWidth="1"/>
    <col min="11533" max="11534" width="11.5" style="56" customWidth="1"/>
    <col min="11535" max="11535" width="6.1640625" style="56" customWidth="1"/>
    <col min="11536" max="11536" width="22.83203125" style="56" customWidth="1"/>
    <col min="11537" max="11537" width="11.5" style="56" customWidth="1"/>
    <col min="11538" max="11538" width="13.83203125" style="56" customWidth="1"/>
    <col min="11539" max="11539" width="5.83203125" style="56" customWidth="1"/>
    <col min="11540" max="11540" width="15.5" style="56" customWidth="1"/>
    <col min="11541" max="11781" width="11.5" style="56"/>
    <col min="11782" max="11782" width="0.5" style="56" customWidth="1"/>
    <col min="11783" max="11783" width="3.1640625" style="56" customWidth="1"/>
    <col min="11784" max="11784" width="8.83203125" style="56" customWidth="1"/>
    <col min="11785" max="11785" width="14.83203125" style="56" customWidth="1"/>
    <col min="11786" max="11787" width="6.5" style="56" customWidth="1"/>
    <col min="11788" max="11788" width="14.83203125" style="56" customWidth="1"/>
    <col min="11789" max="11790" width="11.5" style="56" customWidth="1"/>
    <col min="11791" max="11791" width="6.1640625" style="56" customWidth="1"/>
    <col min="11792" max="11792" width="22.83203125" style="56" customWidth="1"/>
    <col min="11793" max="11793" width="11.5" style="56" customWidth="1"/>
    <col min="11794" max="11794" width="13.83203125" style="56" customWidth="1"/>
    <col min="11795" max="11795" width="5.83203125" style="56" customWidth="1"/>
    <col min="11796" max="11796" width="15.5" style="56" customWidth="1"/>
    <col min="11797" max="12037" width="11.5" style="56"/>
    <col min="12038" max="12038" width="0.5" style="56" customWidth="1"/>
    <col min="12039" max="12039" width="3.1640625" style="56" customWidth="1"/>
    <col min="12040" max="12040" width="8.83203125" style="56" customWidth="1"/>
    <col min="12041" max="12041" width="14.83203125" style="56" customWidth="1"/>
    <col min="12042" max="12043" width="6.5" style="56" customWidth="1"/>
    <col min="12044" max="12044" width="14.83203125" style="56" customWidth="1"/>
    <col min="12045" max="12046" width="11.5" style="56" customWidth="1"/>
    <col min="12047" max="12047" width="6.1640625" style="56" customWidth="1"/>
    <col min="12048" max="12048" width="22.83203125" style="56" customWidth="1"/>
    <col min="12049" max="12049" width="11.5" style="56" customWidth="1"/>
    <col min="12050" max="12050" width="13.83203125" style="56" customWidth="1"/>
    <col min="12051" max="12051" width="5.83203125" style="56" customWidth="1"/>
    <col min="12052" max="12052" width="15.5" style="56" customWidth="1"/>
    <col min="12053" max="12293" width="11.5" style="56"/>
    <col min="12294" max="12294" width="0.5" style="56" customWidth="1"/>
    <col min="12295" max="12295" width="3.1640625" style="56" customWidth="1"/>
    <col min="12296" max="12296" width="8.83203125" style="56" customWidth="1"/>
    <col min="12297" max="12297" width="14.83203125" style="56" customWidth="1"/>
    <col min="12298" max="12299" width="6.5" style="56" customWidth="1"/>
    <col min="12300" max="12300" width="14.83203125" style="56" customWidth="1"/>
    <col min="12301" max="12302" width="11.5" style="56" customWidth="1"/>
    <col min="12303" max="12303" width="6.1640625" style="56" customWidth="1"/>
    <col min="12304" max="12304" width="22.83203125" style="56" customWidth="1"/>
    <col min="12305" max="12305" width="11.5" style="56" customWidth="1"/>
    <col min="12306" max="12306" width="13.83203125" style="56" customWidth="1"/>
    <col min="12307" max="12307" width="5.83203125" style="56" customWidth="1"/>
    <col min="12308" max="12308" width="15.5" style="56" customWidth="1"/>
    <col min="12309" max="12549" width="11.5" style="56"/>
    <col min="12550" max="12550" width="0.5" style="56" customWidth="1"/>
    <col min="12551" max="12551" width="3.1640625" style="56" customWidth="1"/>
    <col min="12552" max="12552" width="8.83203125" style="56" customWidth="1"/>
    <col min="12553" max="12553" width="14.83203125" style="56" customWidth="1"/>
    <col min="12554" max="12555" width="6.5" style="56" customWidth="1"/>
    <col min="12556" max="12556" width="14.83203125" style="56" customWidth="1"/>
    <col min="12557" max="12558" width="11.5" style="56" customWidth="1"/>
    <col min="12559" max="12559" width="6.1640625" style="56" customWidth="1"/>
    <col min="12560" max="12560" width="22.83203125" style="56" customWidth="1"/>
    <col min="12561" max="12561" width="11.5" style="56" customWidth="1"/>
    <col min="12562" max="12562" width="13.83203125" style="56" customWidth="1"/>
    <col min="12563" max="12563" width="5.83203125" style="56" customWidth="1"/>
    <col min="12564" max="12564" width="15.5" style="56" customWidth="1"/>
    <col min="12565" max="12805" width="11.5" style="56"/>
    <col min="12806" max="12806" width="0.5" style="56" customWidth="1"/>
    <col min="12807" max="12807" width="3.1640625" style="56" customWidth="1"/>
    <col min="12808" max="12808" width="8.83203125" style="56" customWidth="1"/>
    <col min="12809" max="12809" width="14.83203125" style="56" customWidth="1"/>
    <col min="12810" max="12811" width="6.5" style="56" customWidth="1"/>
    <col min="12812" max="12812" width="14.83203125" style="56" customWidth="1"/>
    <col min="12813" max="12814" width="11.5" style="56" customWidth="1"/>
    <col min="12815" max="12815" width="6.1640625" style="56" customWidth="1"/>
    <col min="12816" max="12816" width="22.83203125" style="56" customWidth="1"/>
    <col min="12817" max="12817" width="11.5" style="56" customWidth="1"/>
    <col min="12818" max="12818" width="13.83203125" style="56" customWidth="1"/>
    <col min="12819" max="12819" width="5.83203125" style="56" customWidth="1"/>
    <col min="12820" max="12820" width="15.5" style="56" customWidth="1"/>
    <col min="12821" max="13061" width="11.5" style="56"/>
    <col min="13062" max="13062" width="0.5" style="56" customWidth="1"/>
    <col min="13063" max="13063" width="3.1640625" style="56" customWidth="1"/>
    <col min="13064" max="13064" width="8.83203125" style="56" customWidth="1"/>
    <col min="13065" max="13065" width="14.83203125" style="56" customWidth="1"/>
    <col min="13066" max="13067" width="6.5" style="56" customWidth="1"/>
    <col min="13068" max="13068" width="14.83203125" style="56" customWidth="1"/>
    <col min="13069" max="13070" width="11.5" style="56" customWidth="1"/>
    <col min="13071" max="13071" width="6.1640625" style="56" customWidth="1"/>
    <col min="13072" max="13072" width="22.83203125" style="56" customWidth="1"/>
    <col min="13073" max="13073" width="11.5" style="56" customWidth="1"/>
    <col min="13074" max="13074" width="13.83203125" style="56" customWidth="1"/>
    <col min="13075" max="13075" width="5.83203125" style="56" customWidth="1"/>
    <col min="13076" max="13076" width="15.5" style="56" customWidth="1"/>
    <col min="13077" max="13317" width="11.5" style="56"/>
    <col min="13318" max="13318" width="0.5" style="56" customWidth="1"/>
    <col min="13319" max="13319" width="3.1640625" style="56" customWidth="1"/>
    <col min="13320" max="13320" width="8.83203125" style="56" customWidth="1"/>
    <col min="13321" max="13321" width="14.83203125" style="56" customWidth="1"/>
    <col min="13322" max="13323" width="6.5" style="56" customWidth="1"/>
    <col min="13324" max="13324" width="14.83203125" style="56" customWidth="1"/>
    <col min="13325" max="13326" width="11.5" style="56" customWidth="1"/>
    <col min="13327" max="13327" width="6.1640625" style="56" customWidth="1"/>
    <col min="13328" max="13328" width="22.83203125" style="56" customWidth="1"/>
    <col min="13329" max="13329" width="11.5" style="56" customWidth="1"/>
    <col min="13330" max="13330" width="13.83203125" style="56" customWidth="1"/>
    <col min="13331" max="13331" width="5.83203125" style="56" customWidth="1"/>
    <col min="13332" max="13332" width="15.5" style="56" customWidth="1"/>
    <col min="13333" max="13573" width="11.5" style="56"/>
    <col min="13574" max="13574" width="0.5" style="56" customWidth="1"/>
    <col min="13575" max="13575" width="3.1640625" style="56" customWidth="1"/>
    <col min="13576" max="13576" width="8.83203125" style="56" customWidth="1"/>
    <col min="13577" max="13577" width="14.83203125" style="56" customWidth="1"/>
    <col min="13578" max="13579" width="6.5" style="56" customWidth="1"/>
    <col min="13580" max="13580" width="14.83203125" style="56" customWidth="1"/>
    <col min="13581" max="13582" width="11.5" style="56" customWidth="1"/>
    <col min="13583" max="13583" width="6.1640625" style="56" customWidth="1"/>
    <col min="13584" max="13584" width="22.83203125" style="56" customWidth="1"/>
    <col min="13585" max="13585" width="11.5" style="56" customWidth="1"/>
    <col min="13586" max="13586" width="13.83203125" style="56" customWidth="1"/>
    <col min="13587" max="13587" width="5.83203125" style="56" customWidth="1"/>
    <col min="13588" max="13588" width="15.5" style="56" customWidth="1"/>
    <col min="13589" max="13829" width="11.5" style="56"/>
    <col min="13830" max="13830" width="0.5" style="56" customWidth="1"/>
    <col min="13831" max="13831" width="3.1640625" style="56" customWidth="1"/>
    <col min="13832" max="13832" width="8.83203125" style="56" customWidth="1"/>
    <col min="13833" max="13833" width="14.83203125" style="56" customWidth="1"/>
    <col min="13834" max="13835" width="6.5" style="56" customWidth="1"/>
    <col min="13836" max="13836" width="14.83203125" style="56" customWidth="1"/>
    <col min="13837" max="13838" width="11.5" style="56" customWidth="1"/>
    <col min="13839" max="13839" width="6.1640625" style="56" customWidth="1"/>
    <col min="13840" max="13840" width="22.83203125" style="56" customWidth="1"/>
    <col min="13841" max="13841" width="11.5" style="56" customWidth="1"/>
    <col min="13842" max="13842" width="13.83203125" style="56" customWidth="1"/>
    <col min="13843" max="13843" width="5.83203125" style="56" customWidth="1"/>
    <col min="13844" max="13844" width="15.5" style="56" customWidth="1"/>
    <col min="13845" max="14085" width="11.5" style="56"/>
    <col min="14086" max="14086" width="0.5" style="56" customWidth="1"/>
    <col min="14087" max="14087" width="3.1640625" style="56" customWidth="1"/>
    <col min="14088" max="14088" width="8.83203125" style="56" customWidth="1"/>
    <col min="14089" max="14089" width="14.83203125" style="56" customWidth="1"/>
    <col min="14090" max="14091" width="6.5" style="56" customWidth="1"/>
    <col min="14092" max="14092" width="14.83203125" style="56" customWidth="1"/>
    <col min="14093" max="14094" width="11.5" style="56" customWidth="1"/>
    <col min="14095" max="14095" width="6.1640625" style="56" customWidth="1"/>
    <col min="14096" max="14096" width="22.83203125" style="56" customWidth="1"/>
    <col min="14097" max="14097" width="11.5" style="56" customWidth="1"/>
    <col min="14098" max="14098" width="13.83203125" style="56" customWidth="1"/>
    <col min="14099" max="14099" width="5.83203125" style="56" customWidth="1"/>
    <col min="14100" max="14100" width="15.5" style="56" customWidth="1"/>
    <col min="14101" max="14341" width="11.5" style="56"/>
    <col min="14342" max="14342" width="0.5" style="56" customWidth="1"/>
    <col min="14343" max="14343" width="3.1640625" style="56" customWidth="1"/>
    <col min="14344" max="14344" width="8.83203125" style="56" customWidth="1"/>
    <col min="14345" max="14345" width="14.83203125" style="56" customWidth="1"/>
    <col min="14346" max="14347" width="6.5" style="56" customWidth="1"/>
    <col min="14348" max="14348" width="14.83203125" style="56" customWidth="1"/>
    <col min="14349" max="14350" width="11.5" style="56" customWidth="1"/>
    <col min="14351" max="14351" width="6.1640625" style="56" customWidth="1"/>
    <col min="14352" max="14352" width="22.83203125" style="56" customWidth="1"/>
    <col min="14353" max="14353" width="11.5" style="56" customWidth="1"/>
    <col min="14354" max="14354" width="13.83203125" style="56" customWidth="1"/>
    <col min="14355" max="14355" width="5.83203125" style="56" customWidth="1"/>
    <col min="14356" max="14356" width="15.5" style="56" customWidth="1"/>
    <col min="14357" max="14597" width="11.5" style="56"/>
    <col min="14598" max="14598" width="0.5" style="56" customWidth="1"/>
    <col min="14599" max="14599" width="3.1640625" style="56" customWidth="1"/>
    <col min="14600" max="14600" width="8.83203125" style="56" customWidth="1"/>
    <col min="14601" max="14601" width="14.83203125" style="56" customWidth="1"/>
    <col min="14602" max="14603" width="6.5" style="56" customWidth="1"/>
    <col min="14604" max="14604" width="14.83203125" style="56" customWidth="1"/>
    <col min="14605" max="14606" width="11.5" style="56" customWidth="1"/>
    <col min="14607" max="14607" width="6.1640625" style="56" customWidth="1"/>
    <col min="14608" max="14608" width="22.83203125" style="56" customWidth="1"/>
    <col min="14609" max="14609" width="11.5" style="56" customWidth="1"/>
    <col min="14610" max="14610" width="13.83203125" style="56" customWidth="1"/>
    <col min="14611" max="14611" width="5.83203125" style="56" customWidth="1"/>
    <col min="14612" max="14612" width="15.5" style="56" customWidth="1"/>
    <col min="14613" max="14853" width="11.5" style="56"/>
    <col min="14854" max="14854" width="0.5" style="56" customWidth="1"/>
    <col min="14855" max="14855" width="3.1640625" style="56" customWidth="1"/>
    <col min="14856" max="14856" width="8.83203125" style="56" customWidth="1"/>
    <col min="14857" max="14857" width="14.83203125" style="56" customWidth="1"/>
    <col min="14858" max="14859" width="6.5" style="56" customWidth="1"/>
    <col min="14860" max="14860" width="14.83203125" style="56" customWidth="1"/>
    <col min="14861" max="14862" width="11.5" style="56" customWidth="1"/>
    <col min="14863" max="14863" width="6.1640625" style="56" customWidth="1"/>
    <col min="14864" max="14864" width="22.83203125" style="56" customWidth="1"/>
    <col min="14865" max="14865" width="11.5" style="56" customWidth="1"/>
    <col min="14866" max="14866" width="13.83203125" style="56" customWidth="1"/>
    <col min="14867" max="14867" width="5.83203125" style="56" customWidth="1"/>
    <col min="14868" max="14868" width="15.5" style="56" customWidth="1"/>
    <col min="14869" max="15109" width="11.5" style="56"/>
    <col min="15110" max="15110" width="0.5" style="56" customWidth="1"/>
    <col min="15111" max="15111" width="3.1640625" style="56" customWidth="1"/>
    <col min="15112" max="15112" width="8.83203125" style="56" customWidth="1"/>
    <col min="15113" max="15113" width="14.83203125" style="56" customWidth="1"/>
    <col min="15114" max="15115" width="6.5" style="56" customWidth="1"/>
    <col min="15116" max="15116" width="14.83203125" style="56" customWidth="1"/>
    <col min="15117" max="15118" width="11.5" style="56" customWidth="1"/>
    <col min="15119" max="15119" width="6.1640625" style="56" customWidth="1"/>
    <col min="15120" max="15120" width="22.83203125" style="56" customWidth="1"/>
    <col min="15121" max="15121" width="11.5" style="56" customWidth="1"/>
    <col min="15122" max="15122" width="13.83203125" style="56" customWidth="1"/>
    <col min="15123" max="15123" width="5.83203125" style="56" customWidth="1"/>
    <col min="15124" max="15124" width="15.5" style="56" customWidth="1"/>
    <col min="15125" max="15365" width="11.5" style="56"/>
    <col min="15366" max="15366" width="0.5" style="56" customWidth="1"/>
    <col min="15367" max="15367" width="3.1640625" style="56" customWidth="1"/>
    <col min="15368" max="15368" width="8.83203125" style="56" customWidth="1"/>
    <col min="15369" max="15369" width="14.83203125" style="56" customWidth="1"/>
    <col min="15370" max="15371" width="6.5" style="56" customWidth="1"/>
    <col min="15372" max="15372" width="14.83203125" style="56" customWidth="1"/>
    <col min="15373" max="15374" width="11.5" style="56" customWidth="1"/>
    <col min="15375" max="15375" width="6.1640625" style="56" customWidth="1"/>
    <col min="15376" max="15376" width="22.83203125" style="56" customWidth="1"/>
    <col min="15377" max="15377" width="11.5" style="56" customWidth="1"/>
    <col min="15378" max="15378" width="13.83203125" style="56" customWidth="1"/>
    <col min="15379" max="15379" width="5.83203125" style="56" customWidth="1"/>
    <col min="15380" max="15380" width="15.5" style="56" customWidth="1"/>
    <col min="15381" max="15621" width="11.5" style="56"/>
    <col min="15622" max="15622" width="0.5" style="56" customWidth="1"/>
    <col min="15623" max="15623" width="3.1640625" style="56" customWidth="1"/>
    <col min="15624" max="15624" width="8.83203125" style="56" customWidth="1"/>
    <col min="15625" max="15625" width="14.83203125" style="56" customWidth="1"/>
    <col min="15626" max="15627" width="6.5" style="56" customWidth="1"/>
    <col min="15628" max="15628" width="14.83203125" style="56" customWidth="1"/>
    <col min="15629" max="15630" width="11.5" style="56" customWidth="1"/>
    <col min="15631" max="15631" width="6.1640625" style="56" customWidth="1"/>
    <col min="15632" max="15632" width="22.83203125" style="56" customWidth="1"/>
    <col min="15633" max="15633" width="11.5" style="56" customWidth="1"/>
    <col min="15634" max="15634" width="13.83203125" style="56" customWidth="1"/>
    <col min="15635" max="15635" width="5.83203125" style="56" customWidth="1"/>
    <col min="15636" max="15636" width="15.5" style="56" customWidth="1"/>
    <col min="15637" max="15877" width="11.5" style="56"/>
    <col min="15878" max="15878" width="0.5" style="56" customWidth="1"/>
    <col min="15879" max="15879" width="3.1640625" style="56" customWidth="1"/>
    <col min="15880" max="15880" width="8.83203125" style="56" customWidth="1"/>
    <col min="15881" max="15881" width="14.83203125" style="56" customWidth="1"/>
    <col min="15882" max="15883" width="6.5" style="56" customWidth="1"/>
    <col min="15884" max="15884" width="14.83203125" style="56" customWidth="1"/>
    <col min="15885" max="15886" width="11.5" style="56" customWidth="1"/>
    <col min="15887" max="15887" width="6.1640625" style="56" customWidth="1"/>
    <col min="15888" max="15888" width="22.83203125" style="56" customWidth="1"/>
    <col min="15889" max="15889" width="11.5" style="56" customWidth="1"/>
    <col min="15890" max="15890" width="13.83203125" style="56" customWidth="1"/>
    <col min="15891" max="15891" width="5.83203125" style="56" customWidth="1"/>
    <col min="15892" max="15892" width="15.5" style="56" customWidth="1"/>
    <col min="15893" max="16133" width="11.5" style="56"/>
    <col min="16134" max="16134" width="0.5" style="56" customWidth="1"/>
    <col min="16135" max="16135" width="3.1640625" style="56" customWidth="1"/>
    <col min="16136" max="16136" width="8.83203125" style="56" customWidth="1"/>
    <col min="16137" max="16137" width="14.83203125" style="56" customWidth="1"/>
    <col min="16138" max="16139" width="6.5" style="56" customWidth="1"/>
    <col min="16140" max="16140" width="14.83203125" style="56" customWidth="1"/>
    <col min="16141" max="16142" width="11.5" style="56" customWidth="1"/>
    <col min="16143" max="16143" width="6.1640625" style="56" customWidth="1"/>
    <col min="16144" max="16144" width="22.83203125" style="56" customWidth="1"/>
    <col min="16145" max="16145" width="11.5" style="56" customWidth="1"/>
    <col min="16146" max="16146" width="13.83203125" style="56" customWidth="1"/>
    <col min="16147" max="16147" width="5.83203125" style="56" customWidth="1"/>
    <col min="16148" max="16148" width="15.5" style="56" customWidth="1"/>
    <col min="16149" max="16384" width="11.5" style="56"/>
  </cols>
  <sheetData>
    <row r="1" spans="1:34" ht="8" customHeight="1">
      <c r="Q1" s="91"/>
      <c r="R1" s="91"/>
    </row>
    <row r="2" spans="1:34" ht="5" customHeight="1" thickBot="1">
      <c r="Q2" s="89"/>
      <c r="R2" s="89"/>
    </row>
    <row r="3" spans="1:34" s="57" customFormat="1" ht="17" customHeight="1">
      <c r="A3" s="472"/>
      <c r="B3" s="576" t="s">
        <v>115</v>
      </c>
      <c r="C3" s="577"/>
      <c r="D3" s="577"/>
      <c r="E3" s="577"/>
      <c r="F3" s="577"/>
      <c r="G3" s="577"/>
      <c r="H3" s="577"/>
      <c r="I3" s="577"/>
      <c r="J3" s="578"/>
      <c r="K3" s="95"/>
      <c r="L3" s="58"/>
      <c r="M3" s="58"/>
      <c r="N3" s="92"/>
      <c r="O3" s="93"/>
      <c r="Q3" s="90"/>
      <c r="R3" s="90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301"/>
    </row>
    <row r="4" spans="1:34" ht="6" customHeight="1" thickBot="1">
      <c r="B4" s="579"/>
      <c r="C4" s="580"/>
      <c r="D4" s="580"/>
      <c r="E4" s="580"/>
      <c r="F4" s="580"/>
      <c r="G4" s="580"/>
      <c r="H4" s="580"/>
      <c r="I4" s="580"/>
      <c r="J4" s="581"/>
      <c r="K4" s="95"/>
      <c r="L4" s="58"/>
      <c r="M4" s="58"/>
      <c r="N4" s="93"/>
      <c r="O4" s="93"/>
      <c r="P4" s="58"/>
      <c r="Q4" s="59"/>
      <c r="R4" s="59"/>
    </row>
    <row r="5" spans="1:34" ht="15" customHeight="1">
      <c r="B5" s="582" t="s">
        <v>283</v>
      </c>
      <c r="C5" s="583"/>
      <c r="D5" s="583"/>
      <c r="E5" s="583"/>
      <c r="F5" s="583" t="s">
        <v>27</v>
      </c>
      <c r="G5" s="583"/>
      <c r="H5" s="583"/>
      <c r="I5" s="583"/>
      <c r="J5" s="589"/>
      <c r="K5" s="584" t="s">
        <v>142</v>
      </c>
      <c r="L5" s="585"/>
      <c r="M5" s="585"/>
      <c r="N5" s="585" t="s">
        <v>365</v>
      </c>
      <c r="O5" s="585"/>
      <c r="P5" s="588"/>
      <c r="Q5" s="345" t="s">
        <v>143</v>
      </c>
      <c r="R5" s="92"/>
    </row>
    <row r="6" spans="1:34" ht="17" customHeight="1" thickBot="1">
      <c r="B6" s="592" t="str">
        <f>IF(Start!$D$4="","Dr. Max Mustermann",Start!$D$4)</f>
        <v>Dr. Max Mustermann</v>
      </c>
      <c r="C6" s="593"/>
      <c r="D6" s="593"/>
      <c r="E6" s="593"/>
      <c r="F6" s="593" t="str">
        <f>Start!$D$8</f>
        <v>Ärztin/Arzt in Ausbildung_BSO1994</v>
      </c>
      <c r="G6" s="593"/>
      <c r="H6" s="593"/>
      <c r="I6" s="593"/>
      <c r="J6" s="594"/>
      <c r="K6" s="590">
        <f>IF(SUM(N14:O44,L13:L44,AA51:AD51,AA52:AB52)=0,Datenblatt!J106,SUM(N14:O44,L13:L44,AA51:AD51,AA52:AB52,AH51:AH52))</f>
        <v>220.8</v>
      </c>
      <c r="L6" s="591"/>
      <c r="M6" s="591"/>
      <c r="N6" s="586">
        <f>COUNTIF(D14:E44,"ND")+COUNTIF(D14:E44,"ND12,5")</f>
        <v>0</v>
      </c>
      <c r="O6" s="586"/>
      <c r="P6" s="587"/>
      <c r="Q6" s="346">
        <f>IF(OR(Start!$D$10="",Start!$E$10=""),"",IF(Start!$D$8=Gehalt!$K$32,VLOOKUP($H$8,Gehalt!$A$4:$I$22,3,FALSE),IF(Start!$D$8=Gehalt!$K$33,VLOOKUP($H$8,Gehalt!$A$4:$I$22,4,FALSE),IF(Start!$D$8=Gehalt!$K$34,VLOOKUP($H$8,Gehalt!$A$4:$I$22,5,FALSE),IF(Start!$D$8=Gehalt!$K$35,VLOOKUP($H$8,Gehalt!$A$4:$I$22,6,FALSE),IF(Start!$D$8=Gehalt!$K$36,VLOOKUP($H$8,Gehalt!$A$4:$I$22,7,FALSE),IF(Start!$D$8=Gehalt!$K$37,VLOOKUP($H$8,Gehalt!$A$4:$I$22,6,FALSE),IF(Start!$D$8=Gehalt!$K$38,VLOOKUP($H$8,Gehalt!$A$4:$I$22,8,FALSE),IF(Start!$D$8=Gehalt!$K$39,VLOOKUP($H$8,Gehalt!$A$4:$I$22,8,FALSE),IF(Start!$D$8=Gehalt!$K$40,VLOOKUP($H$8,Gehalt!$A$4:$I$22,9,FALSE),IF(Start!$D$8=Gehalt!$K$41,VLOOKUP($H$8,Gehalt!$A$4:$I$22,9,FALSE))))))))))))</f>
        <v>5365.31</v>
      </c>
      <c r="R6" s="92"/>
      <c r="S6" s="92"/>
    </row>
    <row r="7" spans="1:34" ht="15" customHeight="1">
      <c r="B7" s="582" t="s">
        <v>26</v>
      </c>
      <c r="C7" s="583"/>
      <c r="D7" s="108" t="s">
        <v>25</v>
      </c>
      <c r="E7" s="583" t="s">
        <v>43</v>
      </c>
      <c r="F7" s="583"/>
      <c r="G7" s="583"/>
      <c r="H7" s="583" t="s">
        <v>91</v>
      </c>
      <c r="I7" s="583"/>
      <c r="J7" s="589"/>
      <c r="K7" s="584" t="s">
        <v>80</v>
      </c>
      <c r="L7" s="585"/>
      <c r="M7" s="585"/>
      <c r="N7" s="585" t="s">
        <v>81</v>
      </c>
      <c r="O7" s="585"/>
      <c r="P7" s="588"/>
      <c r="Q7" s="345" t="s">
        <v>144</v>
      </c>
      <c r="R7" s="191"/>
      <c r="S7" s="101"/>
      <c r="U7" s="242"/>
      <c r="AA7" s="242"/>
    </row>
    <row r="8" spans="1:34" s="59" customFormat="1" ht="17" customHeight="1" thickBot="1">
      <c r="A8" s="471"/>
      <c r="B8" s="595">
        <f>DATE($D$8,7,1)</f>
        <v>45474</v>
      </c>
      <c r="C8" s="596"/>
      <c r="D8" s="349">
        <f>Start!$D$2</f>
        <v>2024</v>
      </c>
      <c r="E8" s="601">
        <f>($K$6)/((VLOOKUP($B$8,Datenblatt!$A$100:$G$112,7,FALSE)*0.2)-(0.2*$D$59))</f>
        <v>48</v>
      </c>
      <c r="F8" s="601"/>
      <c r="G8" s="601"/>
      <c r="H8" s="602">
        <f>IF(OR(Start!$D$10="",Start!$E$10=""),"",IF(($C$14&lt;Start!$D$10),Start!$E$10,VLOOKUP(Start!$E$10,Gehalt!$A$4:$B$22,2,FALSE)))</f>
        <v>4</v>
      </c>
      <c r="I8" s="602"/>
      <c r="J8" s="603"/>
      <c r="K8" s="597">
        <f>SUM(M13:M44)</f>
        <v>0</v>
      </c>
      <c r="L8" s="598"/>
      <c r="M8" s="598"/>
      <c r="N8" s="591">
        <f>VLOOKUP($B$8,Datenblatt!A100:F112,6,FALSE)</f>
        <v>184</v>
      </c>
      <c r="O8" s="591"/>
      <c r="P8" s="599"/>
      <c r="Q8" s="346">
        <f ca="1">IF($L$50="","",SUM($L$50:$L$59))</f>
        <v>5365.31</v>
      </c>
      <c r="R8" s="100"/>
      <c r="S8" s="101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302"/>
    </row>
    <row r="9" spans="1:34" s="60" customFormat="1" ht="4.25" customHeight="1">
      <c r="A9" s="473"/>
      <c r="B9" s="559" t="s">
        <v>116</v>
      </c>
      <c r="C9" s="560"/>
      <c r="D9" s="565" t="s">
        <v>124</v>
      </c>
      <c r="E9" s="565" t="s">
        <v>174</v>
      </c>
      <c r="F9" s="568" t="s">
        <v>79</v>
      </c>
      <c r="G9" s="569"/>
      <c r="H9" s="568" t="s">
        <v>109</v>
      </c>
      <c r="I9" s="569"/>
      <c r="J9" s="565" t="s">
        <v>117</v>
      </c>
      <c r="K9" s="556" t="s">
        <v>82</v>
      </c>
      <c r="L9" s="556" t="s">
        <v>130</v>
      </c>
      <c r="M9" s="556" t="s">
        <v>114</v>
      </c>
      <c r="N9" s="556" t="s">
        <v>79</v>
      </c>
      <c r="O9" s="556" t="s">
        <v>109</v>
      </c>
      <c r="P9" s="553" t="s">
        <v>134</v>
      </c>
      <c r="Q9" s="535" t="s">
        <v>125</v>
      </c>
      <c r="R9" s="537" t="s">
        <v>173</v>
      </c>
      <c r="S9" s="573" t="s">
        <v>165</v>
      </c>
      <c r="T9" s="233"/>
      <c r="U9" s="234"/>
      <c r="V9" s="234"/>
      <c r="W9" s="234"/>
      <c r="X9" s="234"/>
      <c r="Y9" s="234"/>
      <c r="Z9" s="233"/>
      <c r="AA9" s="234"/>
      <c r="AB9" s="234"/>
      <c r="AC9" s="234"/>
      <c r="AD9" s="234"/>
      <c r="AE9" s="234"/>
      <c r="AF9" s="234"/>
      <c r="AG9" s="234"/>
      <c r="AH9" s="301"/>
    </row>
    <row r="10" spans="1:34" ht="14.5" customHeight="1">
      <c r="B10" s="561"/>
      <c r="C10" s="562"/>
      <c r="D10" s="566"/>
      <c r="E10" s="566"/>
      <c r="F10" s="570"/>
      <c r="G10" s="571"/>
      <c r="H10" s="570"/>
      <c r="I10" s="571"/>
      <c r="J10" s="566"/>
      <c r="K10" s="557"/>
      <c r="L10" s="557"/>
      <c r="M10" s="557"/>
      <c r="N10" s="557"/>
      <c r="O10" s="557"/>
      <c r="P10" s="554"/>
      <c r="Q10" s="535"/>
      <c r="R10" s="535"/>
      <c r="S10" s="574"/>
      <c r="T10" s="233"/>
      <c r="U10" s="572" t="s">
        <v>108</v>
      </c>
      <c r="V10" s="572"/>
      <c r="W10" s="572"/>
      <c r="X10" s="572"/>
      <c r="Y10" s="572"/>
      <c r="Z10" s="249"/>
      <c r="AA10" s="572" t="s">
        <v>168</v>
      </c>
      <c r="AB10" s="572"/>
      <c r="AC10" s="572"/>
      <c r="AD10" s="572"/>
      <c r="AE10" s="572"/>
      <c r="AF10" s="552" t="s">
        <v>232</v>
      </c>
      <c r="AG10" s="552" t="s">
        <v>233</v>
      </c>
    </row>
    <row r="11" spans="1:34" ht="13" customHeight="1" thickBot="1">
      <c r="B11" s="563"/>
      <c r="C11" s="564"/>
      <c r="D11" s="567"/>
      <c r="E11" s="567"/>
      <c r="F11" s="97" t="s">
        <v>14</v>
      </c>
      <c r="G11" s="98" t="s">
        <v>15</v>
      </c>
      <c r="H11" s="97" t="s">
        <v>14</v>
      </c>
      <c r="I11" s="98" t="s">
        <v>15</v>
      </c>
      <c r="J11" s="567"/>
      <c r="K11" s="558"/>
      <c r="L11" s="558"/>
      <c r="M11" s="558"/>
      <c r="N11" s="558"/>
      <c r="O11" s="558"/>
      <c r="P11" s="555"/>
      <c r="Q11" s="536"/>
      <c r="R11" s="536"/>
      <c r="S11" s="575"/>
      <c r="T11" s="109"/>
      <c r="U11" s="245" t="s">
        <v>105</v>
      </c>
      <c r="V11" s="246" t="s">
        <v>106</v>
      </c>
      <c r="W11" s="247" t="s">
        <v>107</v>
      </c>
      <c r="X11" s="246" t="s">
        <v>176</v>
      </c>
      <c r="Y11" s="246" t="s">
        <v>175</v>
      </c>
      <c r="Z11" s="248"/>
      <c r="AA11" s="245" t="s">
        <v>105</v>
      </c>
      <c r="AB11" s="246" t="s">
        <v>106</v>
      </c>
      <c r="AC11" s="246" t="s">
        <v>176</v>
      </c>
      <c r="AD11" s="246" t="s">
        <v>175</v>
      </c>
      <c r="AE11" s="245" t="s">
        <v>229</v>
      </c>
      <c r="AF11" s="552"/>
      <c r="AG11" s="552"/>
      <c r="AH11" s="246" t="s">
        <v>262</v>
      </c>
    </row>
    <row r="12" spans="1:34" ht="0.25" customHeight="1">
      <c r="B12" s="61"/>
      <c r="C12" s="61"/>
      <c r="D12" s="62"/>
      <c r="E12" s="65"/>
      <c r="F12" s="63"/>
      <c r="G12" s="63"/>
      <c r="H12" s="63"/>
      <c r="I12" s="63"/>
      <c r="J12" s="64"/>
      <c r="K12" s="64"/>
      <c r="L12" s="65"/>
      <c r="M12" s="65"/>
      <c r="N12" s="65"/>
      <c r="O12" s="65"/>
      <c r="P12" s="65"/>
      <c r="S12" s="96"/>
      <c r="T12" s="235"/>
      <c r="U12" s="236"/>
      <c r="V12" s="236"/>
      <c r="Z12" s="236"/>
      <c r="AA12" s="236"/>
      <c r="AB12" s="236"/>
      <c r="AH12" s="303"/>
    </row>
    <row r="13" spans="1:34" ht="13" customHeight="1">
      <c r="A13" s="89" t="str">
        <f>IF(ISERROR(VLOOKUP(C13,Datenblatt!$B$84:$B$97,1,FALSE)),"","Ft")</f>
        <v/>
      </c>
      <c r="B13" s="397">
        <f t="shared" ref="B13:B44" si="0">C13</f>
        <v>45473</v>
      </c>
      <c r="C13" s="149">
        <f>C14-1</f>
        <v>45473</v>
      </c>
      <c r="D13" s="153" t="str">
        <f>IF(Juni!D$43="","",Juni!D$43)</f>
        <v/>
      </c>
      <c r="E13" s="150" t="str">
        <f>IF(Juni!E$43="","",Juni!E$43)</f>
        <v/>
      </c>
      <c r="F13" s="150"/>
      <c r="G13" s="150"/>
      <c r="H13" s="150"/>
      <c r="I13" s="150"/>
      <c r="J13" s="252"/>
      <c r="K13" s="252"/>
      <c r="L13" s="170" t="str">
        <f>IF(D13="ND",9,IF(D13="ND12,5",8.5,""))</f>
        <v/>
      </c>
      <c r="M13" s="170" t="str">
        <f>IF(D13="ND",9,IF(D13="ND12,5",8.5,""))</f>
        <v/>
      </c>
      <c r="N13" s="600" t="str">
        <f>IF(OR(D13="ND",D13="ND12,5"),"Übertrag Vormonat","")</f>
        <v/>
      </c>
      <c r="O13" s="600"/>
      <c r="P13" s="193"/>
      <c r="Q13" s="174"/>
      <c r="R13" s="151"/>
      <c r="S13" s="152"/>
      <c r="T13" s="205"/>
      <c r="U13" s="206"/>
      <c r="V13" s="207"/>
      <c r="W13" s="207"/>
      <c r="X13" s="253"/>
      <c r="Y13" s="253"/>
      <c r="Z13" s="111" t="str">
        <f t="shared" ref="Z13:Z44" si="1">IF(E13="ND",25,IF(E13="ND12,5",12.5,""))</f>
        <v/>
      </c>
      <c r="AA13" s="206"/>
      <c r="AB13" s="208"/>
      <c r="AC13" s="208"/>
      <c r="AD13" s="208"/>
      <c r="AE13" s="208"/>
      <c r="AF13" s="112"/>
      <c r="AG13" s="112"/>
      <c r="AH13" s="304"/>
    </row>
    <row r="14" spans="1:34" ht="13" customHeight="1">
      <c r="A14" s="89" t="str">
        <f>IF(ISERROR(VLOOKUP(C14,Datenblatt!$B$84:$B$97,1,FALSE)),"","Ft")</f>
        <v/>
      </c>
      <c r="B14" s="84">
        <f t="shared" si="0"/>
        <v>45474</v>
      </c>
      <c r="C14" s="85">
        <f>DATE($D$8,MONTH(B$8),1)</f>
        <v>45474</v>
      </c>
      <c r="D14" s="67"/>
      <c r="E14" s="67"/>
      <c r="F14" s="68"/>
      <c r="G14" s="69"/>
      <c r="H14" s="68"/>
      <c r="I14" s="68"/>
      <c r="J14" s="99"/>
      <c r="K14" s="21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20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10" t="str">
        <f>IF(D14="","",IF(E13="ND",VLOOKUP(D14,Datenblatt!$A$2:$C$31,3,FALSE)-1,IF(E13="ND12,5",VLOOKUP(D14,Datenblatt!$A$2:$C$31,3,FALSE)-0.5,VLOOKUP(D14,Datenblatt!$A$2:$C$31,3,FALSE))))</f>
        <v/>
      </c>
      <c r="N14" s="211" t="str">
        <f t="shared" ref="N14:N44" si="2">IF(AND(F14="",G14=""),"",IF(OR(F14&gt;G14,AND(F14="",G14&gt;0),F14=G14),"ungültig",IF(OR(WEEKDAY(B14,2)=7,A14="Ft"),0,(G14-F14)*24)))</f>
        <v/>
      </c>
      <c r="O14" s="211" t="str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86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103" t="str">
        <f>IF(D14="","",VLOOKUP(D14,Datenblatt!$A$2:$D$31,4,FALSE))</f>
        <v/>
      </c>
      <c r="R14" s="104" t="str">
        <f>IF(E14="","",VLOOKUP(E14,Datenblatt!$E$2:$G$28,2,FALSE))</f>
        <v/>
      </c>
      <c r="S14" s="105"/>
      <c r="T14" s="111">
        <f>IF(K14="",0,K14)</f>
        <v>0</v>
      </c>
      <c r="U14" s="110"/>
      <c r="V14" s="112"/>
      <c r="W14" s="113"/>
      <c r="X14" s="254"/>
      <c r="Y14" s="254"/>
      <c r="Z14" s="111" t="str">
        <f t="shared" si="1"/>
        <v/>
      </c>
      <c r="AA14" s="214">
        <f>IF(E13="ND",IF(ISERROR(MATCH(D14,Datenblatt!$L$2:$L$18,0)),3,2),IF(E13="ND12,5",IF(ISERROR(MATCH(D14,Datenblatt!$L$2:$L$18,0)),2.5,2),0))</f>
        <v>0</v>
      </c>
      <c r="AB14" s="214">
        <f>IF((IF(E14="ND",14-IF(D14="",0,VLOOKUP(D14,Datenblatt!$L$2:$M$30,2,FALSE)),IF(E14="ND12,5",2,0)))&lt;0,0,(IF(E14="ND",14-IF(D14="",0,VLOOKUP(D14,Datenblatt!$L$2:$M$30,2,FALSE)),IF(E14="ND12,5",2,0))))</f>
        <v>0</v>
      </c>
      <c r="AC14" s="214">
        <f t="shared" ref="AC14:AC44" si="4">IF(OR(E14="ND",E14="ND12,5"),2,0)</f>
        <v>0</v>
      </c>
      <c r="AD14" s="214">
        <f t="shared" ref="AD14:AD44" si="5">IF(OR(E13="ND",E13="ND12,5"),6,0)</f>
        <v>0</v>
      </c>
      <c r="AE14" s="214">
        <f>IF(AND(E13="ND",AA14&gt;=2),1,IF(AND(E13="ND12,5",AA14&gt;=2),0.5,0))</f>
        <v>0</v>
      </c>
      <c r="AF14" s="112">
        <f>IF(OR(D14="ND",D14="ND12,5"),2-X14,0)</f>
        <v>0</v>
      </c>
      <c r="AG14" s="112">
        <f>IF(OR(D13="ND",D13="ND12,5"),6-Y14,0)</f>
        <v>0</v>
      </c>
      <c r="AH14" s="112">
        <f>IF(E14="",0,VLOOKUP(E14,Datenblatt!$E$2:$G$28,3,FALSE))</f>
        <v>0</v>
      </c>
    </row>
    <row r="15" spans="1:34" ht="13" customHeight="1">
      <c r="A15" s="89" t="str">
        <f>IF(ISERROR(VLOOKUP(C15,Datenblatt!$B$84:$B$97,1,FALSE)),"","Ft")</f>
        <v/>
      </c>
      <c r="B15" s="84">
        <f t="shared" si="0"/>
        <v>45475</v>
      </c>
      <c r="C15" s="86">
        <f t="shared" ref="C15:C41" si="6">C14+1</f>
        <v>45475</v>
      </c>
      <c r="D15" s="67"/>
      <c r="E15" s="67"/>
      <c r="F15" s="68"/>
      <c r="G15" s="69"/>
      <c r="H15" s="68"/>
      <c r="I15" s="68"/>
      <c r="J15" s="99"/>
      <c r="K15" s="21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20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10" t="str">
        <f>IF(D15="","",IF(E14="ND",VLOOKUP(D15,Datenblatt!$A$2:$C$31,3,FALSE)-1,IF(E14="ND12,5",VLOOKUP(D15,Datenblatt!$A$2:$C$31,3,FALSE)-0.5,VLOOKUP(D15,Datenblatt!$A$2:$C$31,3,FALSE))))</f>
        <v/>
      </c>
      <c r="N15" s="211" t="str">
        <f t="shared" si="2"/>
        <v/>
      </c>
      <c r="O15" s="211" t="str">
        <f t="shared" si="3"/>
        <v/>
      </c>
      <c r="P15" s="186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103" t="str">
        <f>IF(D15="","",VLOOKUP(D15,Datenblatt!$A$2:$D$31,4,FALSE))</f>
        <v/>
      </c>
      <c r="R15" s="104" t="str">
        <f>IF(E15="","",VLOOKUP(E15,Datenblatt!$E$2:$G$28,2,FALSE))</f>
        <v/>
      </c>
      <c r="S15" s="105"/>
      <c r="T15" s="111">
        <f t="shared" ref="T15:T44" si="7">IF(K15="",0,K15)</f>
        <v>0</v>
      </c>
      <c r="U15" s="114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12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12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54">
        <f t="array" ref="X15">IF(T15=0,0,IF((AND((ROW(T15)=MATCH(TRUE,($T$1:$T$44)&gt;0,0)))),IF(W15&gt;=6,W15-6,0),IF(W15&gt;=2,2,W15)))</f>
        <v>0</v>
      </c>
      <c r="Y15" s="254">
        <f t="array" ref="Y15">IF(T14=0,0,(IF((AND((ROW(T14)=MATCH(TRUE,($T$1:$T$44)&gt;0,0)))),IF(W14&gt;=6,6,W14),IF(W14&gt;=2,W14-2,0))))</f>
        <v>0</v>
      </c>
      <c r="Z15" s="111" t="str">
        <f t="shared" si="1"/>
        <v/>
      </c>
      <c r="AA15" s="214">
        <f>IF(E14="ND",IF(ISERROR(MATCH(D15,Datenblatt!$L$2:$L$18,0)),3,2),IF(E14="ND12,5",IF(ISERROR(MATCH(D15,Datenblatt!$L$2:$L$18,0)),2.5,2),0))</f>
        <v>0</v>
      </c>
      <c r="AB15" s="214">
        <f>IF((IF(E15="ND",14-IF(D15="",0,VLOOKUP(D15,Datenblatt!$L$2:$M$30,2,FALSE)),IF(E15="ND12,5",2,0)))&lt;0,0,(IF(E15="ND",14-IF(D15="",0,VLOOKUP(D15,Datenblatt!$L$2:$M$30,2,FALSE)),IF(E15="ND12,5",2,0))))</f>
        <v>0</v>
      </c>
      <c r="AC15" s="214">
        <f t="shared" si="4"/>
        <v>0</v>
      </c>
      <c r="AD15" s="214">
        <f t="shared" si="5"/>
        <v>0</v>
      </c>
      <c r="AE15" s="214">
        <f t="shared" ref="AE15:AE44" si="8">IF(AND(E14="ND",AA15&gt;=2),1,IF(AND(E14="ND12,5",AA15&gt;=2),0.5,0))</f>
        <v>0</v>
      </c>
      <c r="AF15" s="112">
        <f t="shared" ref="AF15:AF44" si="9">IF(OR(D15="ND",D15="ND12,5"),2-X15,0)</f>
        <v>0</v>
      </c>
      <c r="AG15" s="112">
        <f t="shared" ref="AG15:AG44" si="10">IF(OR(D14="ND",D14="ND12,5"),6-Y15,0)</f>
        <v>0</v>
      </c>
      <c r="AH15" s="112">
        <f>IF(E15="",0,VLOOKUP(E15,Datenblatt!$E$2:$G$28,3,FALSE))</f>
        <v>0</v>
      </c>
    </row>
    <row r="16" spans="1:34" ht="13" customHeight="1">
      <c r="A16" s="89" t="str">
        <f>IF(ISERROR(VLOOKUP(C16,Datenblatt!$B$84:$B$97,1,FALSE)),"","Ft")</f>
        <v/>
      </c>
      <c r="B16" s="84">
        <f t="shared" si="0"/>
        <v>45476</v>
      </c>
      <c r="C16" s="86">
        <f t="shared" si="6"/>
        <v>45476</v>
      </c>
      <c r="D16" s="67"/>
      <c r="E16" s="67"/>
      <c r="F16" s="68"/>
      <c r="G16" s="69"/>
      <c r="H16" s="68"/>
      <c r="I16" s="68"/>
      <c r="J16" s="99"/>
      <c r="K16" s="21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20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10" t="str">
        <f>IF(D16="","",IF(E15="ND",VLOOKUP(D16,Datenblatt!$A$2:$C$31,3,FALSE)-1,IF(E15="ND12,5",VLOOKUP(D16,Datenblatt!$A$2:$C$31,3,FALSE)-0.5,VLOOKUP(D16,Datenblatt!$A$2:$C$31,3,FALSE))))</f>
        <v/>
      </c>
      <c r="N16" s="211" t="str">
        <f t="shared" si="2"/>
        <v/>
      </c>
      <c r="O16" s="211" t="str">
        <f t="shared" si="3"/>
        <v/>
      </c>
      <c r="P16" s="186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103" t="str">
        <f>IF(D16="","",VLOOKUP(D16,Datenblatt!$A$2:$D$31,4,FALSE))</f>
        <v/>
      </c>
      <c r="R16" s="104" t="str">
        <f>IF(E16="","",VLOOKUP(E16,Datenblatt!$E$2:$G$28,2,FALSE))</f>
        <v/>
      </c>
      <c r="S16" s="105"/>
      <c r="T16" s="111">
        <f t="shared" si="7"/>
        <v>0</v>
      </c>
      <c r="U16" s="114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12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12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54">
        <f t="array" ref="X16">IF(T16=0,0,IF((AND((ROW(T16)=MATCH(TRUE,($T$1:$T$44)&gt;0,0)))),IF(W16&gt;=6,W16-6,0),IF(W16&gt;=2,2,W16)))</f>
        <v>0</v>
      </c>
      <c r="Y16" s="254">
        <f t="array" ref="Y16">IF(T15=0,0,(IF((AND((ROW(T15)=MATCH(TRUE,($T$1:$T$44)&gt;0,0)))),IF(W15&gt;=6,6,W15),IF(W15&gt;=2,W15-2,0))))</f>
        <v>0</v>
      </c>
      <c r="Z16" s="111" t="str">
        <f t="shared" si="1"/>
        <v/>
      </c>
      <c r="AA16" s="214">
        <f>IF(E15="ND",IF(ISERROR(MATCH(D16,Datenblatt!$L$2:$L$18,0)),3,2),IF(E15="ND12,5",IF(ISERROR(MATCH(D16,Datenblatt!$L$2:$L$18,0)),2.5,2),0))</f>
        <v>0</v>
      </c>
      <c r="AB16" s="214">
        <f>IF((IF(E16="ND",14-IF(D16="",0,VLOOKUP(D16,Datenblatt!$L$2:$M$30,2,FALSE)),IF(E16="ND12,5",2,0)))&lt;0,0,(IF(E16="ND",14-IF(D16="",0,VLOOKUP(D16,Datenblatt!$L$2:$M$30,2,FALSE)),IF(E16="ND12,5",2,0))))</f>
        <v>0</v>
      </c>
      <c r="AC16" s="214">
        <f t="shared" si="4"/>
        <v>0</v>
      </c>
      <c r="AD16" s="214">
        <f t="shared" si="5"/>
        <v>0</v>
      </c>
      <c r="AE16" s="214">
        <f t="shared" si="8"/>
        <v>0</v>
      </c>
      <c r="AF16" s="112">
        <f t="shared" si="9"/>
        <v>0</v>
      </c>
      <c r="AG16" s="112">
        <f t="shared" si="10"/>
        <v>0</v>
      </c>
      <c r="AH16" s="112">
        <f>IF(E16="",0,VLOOKUP(E16,Datenblatt!$E$2:$G$28,3,FALSE))</f>
        <v>0</v>
      </c>
    </row>
    <row r="17" spans="1:34" ht="13" customHeight="1">
      <c r="A17" s="89" t="str">
        <f>IF(ISERROR(VLOOKUP(C17,Datenblatt!$B$84:$B$97,1,FALSE)),"","Ft")</f>
        <v/>
      </c>
      <c r="B17" s="84">
        <f t="shared" si="0"/>
        <v>45477</v>
      </c>
      <c r="C17" s="86">
        <f t="shared" si="6"/>
        <v>45477</v>
      </c>
      <c r="D17" s="67"/>
      <c r="E17" s="67"/>
      <c r="F17" s="68"/>
      <c r="G17" s="69"/>
      <c r="H17" s="68"/>
      <c r="I17" s="68"/>
      <c r="J17" s="99"/>
      <c r="K17" s="21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20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10" t="str">
        <f>IF(D17="","",IF(E16="ND",VLOOKUP(D17,Datenblatt!$A$2:$C$31,3,FALSE)-1,IF(E16="ND12,5",VLOOKUP(D17,Datenblatt!$A$2:$C$31,3,FALSE)-0.5,VLOOKUP(D17,Datenblatt!$A$2:$C$31,3,FALSE))))</f>
        <v/>
      </c>
      <c r="N17" s="211" t="str">
        <f t="shared" si="2"/>
        <v/>
      </c>
      <c r="O17" s="211" t="str">
        <f t="shared" si="3"/>
        <v/>
      </c>
      <c r="P17" s="186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103" t="str">
        <f>IF(D17="","",VLOOKUP(D17,Datenblatt!$A$2:$D$31,4,FALSE))</f>
        <v/>
      </c>
      <c r="R17" s="104" t="str">
        <f>IF(E17="","",VLOOKUP(E17,Datenblatt!$E$2:$G$28,2,FALSE))</f>
        <v/>
      </c>
      <c r="S17" s="105"/>
      <c r="T17" s="111">
        <f t="shared" si="7"/>
        <v>0</v>
      </c>
      <c r="U17" s="114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12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12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54">
        <f t="array" ref="X17">IF(T17=0,0,IF((AND((ROW(T17)=MATCH(TRUE,($T$1:$T$44)&gt;0,0)))),IF(W17&gt;=6,W17-6,0),IF(W17&gt;=2,2,W17)))</f>
        <v>0</v>
      </c>
      <c r="Y17" s="254">
        <f t="array" ref="Y17">IF(T16=0,0,(IF((AND((ROW(T16)=MATCH(TRUE,($T$1:$T$44)&gt;0,0)))),IF(W16&gt;=6,6,W16),IF(W16&gt;=2,W16-2,0))))</f>
        <v>0</v>
      </c>
      <c r="Z17" s="111" t="str">
        <f t="shared" si="1"/>
        <v/>
      </c>
      <c r="AA17" s="214">
        <f>IF(E16="ND",IF(ISERROR(MATCH(D17,Datenblatt!$L$2:$L$18,0)),3,2),IF(E16="ND12,5",IF(ISERROR(MATCH(D17,Datenblatt!$L$2:$L$18,0)),2.5,2),0))</f>
        <v>0</v>
      </c>
      <c r="AB17" s="214">
        <f>IF((IF(E17="ND",14-IF(D17="",0,VLOOKUP(D17,Datenblatt!$L$2:$M$30,2,FALSE)),IF(E17="ND12,5",2,0)))&lt;0,0,(IF(E17="ND",14-IF(D17="",0,VLOOKUP(D17,Datenblatt!$L$2:$M$30,2,FALSE)),IF(E17="ND12,5",2,0))))</f>
        <v>0</v>
      </c>
      <c r="AC17" s="214">
        <f t="shared" si="4"/>
        <v>0</v>
      </c>
      <c r="AD17" s="214">
        <f t="shared" si="5"/>
        <v>0</v>
      </c>
      <c r="AE17" s="214">
        <f t="shared" si="8"/>
        <v>0</v>
      </c>
      <c r="AF17" s="112">
        <f t="shared" si="9"/>
        <v>0</v>
      </c>
      <c r="AG17" s="112">
        <f t="shared" si="10"/>
        <v>0</v>
      </c>
      <c r="AH17" s="112">
        <f>IF(E17="",0,VLOOKUP(E17,Datenblatt!$E$2:$G$28,3,FALSE))</f>
        <v>0</v>
      </c>
    </row>
    <row r="18" spans="1:34" ht="13" customHeight="1">
      <c r="A18" s="89" t="str">
        <f>IF(ISERROR(VLOOKUP(C18,Datenblatt!$B$84:$B$97,1,FALSE)),"","Ft")</f>
        <v/>
      </c>
      <c r="B18" s="84">
        <f t="shared" si="0"/>
        <v>45478</v>
      </c>
      <c r="C18" s="86">
        <f t="shared" si="6"/>
        <v>45478</v>
      </c>
      <c r="D18" s="67"/>
      <c r="E18" s="67"/>
      <c r="F18" s="68"/>
      <c r="G18" s="69"/>
      <c r="H18" s="68"/>
      <c r="I18" s="68"/>
      <c r="J18" s="99"/>
      <c r="K18" s="21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20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10" t="str">
        <f>IF(D18="","",IF(E17="ND",VLOOKUP(D18,Datenblatt!$A$2:$C$31,3,FALSE)-1,IF(E17="ND12,5",VLOOKUP(D18,Datenblatt!$A$2:$C$31,3,FALSE)-0.5,VLOOKUP(D18,Datenblatt!$A$2:$C$31,3,FALSE))))</f>
        <v/>
      </c>
      <c r="N18" s="211" t="str">
        <f t="shared" si="2"/>
        <v/>
      </c>
      <c r="O18" s="211" t="str">
        <f t="shared" si="3"/>
        <v/>
      </c>
      <c r="P18" s="186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103" t="str">
        <f>IF(D18="","",VLOOKUP(D18,Datenblatt!$A$2:$D$31,4,FALSE))</f>
        <v/>
      </c>
      <c r="R18" s="104" t="str">
        <f>IF(E18="","",VLOOKUP(E18,Datenblatt!$E$2:$G$28,2,FALSE))</f>
        <v/>
      </c>
      <c r="S18" s="105"/>
      <c r="T18" s="111">
        <f t="shared" si="7"/>
        <v>0</v>
      </c>
      <c r="U18" s="114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12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12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54">
        <f t="array" ref="X18">IF(T18=0,0,IF((AND((ROW(T18)=MATCH(TRUE,($T$1:$T$44)&gt;0,0)))),IF(W18&gt;=6,W18-6,0),IF(W18&gt;=2,2,W18)))</f>
        <v>0</v>
      </c>
      <c r="Y18" s="254">
        <f t="array" ref="Y18">IF(T17=0,0,(IF((AND((ROW(T17)=MATCH(TRUE,($T$1:$T$44)&gt;0,0)))),IF(W17&gt;=6,6,W17),IF(W17&gt;=2,W17-2,0))))</f>
        <v>0</v>
      </c>
      <c r="Z18" s="111" t="str">
        <f t="shared" si="1"/>
        <v/>
      </c>
      <c r="AA18" s="214">
        <f>IF(E17="ND",IF(ISERROR(MATCH(D18,Datenblatt!$L$2:$L$18,0)),3,2),IF(E17="ND12,5",IF(ISERROR(MATCH(D18,Datenblatt!$L$2:$L$18,0)),2.5,2),0))</f>
        <v>0</v>
      </c>
      <c r="AB18" s="214">
        <f>IF((IF(E18="ND",14-IF(D18="",0,VLOOKUP(D18,Datenblatt!$L$2:$M$30,2,FALSE)),IF(E18="ND12,5",2,0)))&lt;0,0,(IF(E18="ND",14-IF(D18="",0,VLOOKUP(D18,Datenblatt!$L$2:$M$30,2,FALSE)),IF(E18="ND12,5",2,0))))</f>
        <v>0</v>
      </c>
      <c r="AC18" s="214">
        <f t="shared" si="4"/>
        <v>0</v>
      </c>
      <c r="AD18" s="214">
        <f t="shared" si="5"/>
        <v>0</v>
      </c>
      <c r="AE18" s="214">
        <f t="shared" si="8"/>
        <v>0</v>
      </c>
      <c r="AF18" s="112">
        <f t="shared" si="9"/>
        <v>0</v>
      </c>
      <c r="AG18" s="112">
        <f t="shared" si="10"/>
        <v>0</v>
      </c>
      <c r="AH18" s="112">
        <f>IF(E18="",0,VLOOKUP(E18,Datenblatt!$E$2:$G$28,3,FALSE))</f>
        <v>0</v>
      </c>
    </row>
    <row r="19" spans="1:34" ht="13" customHeight="1">
      <c r="A19" s="89" t="str">
        <f>IF(ISERROR(VLOOKUP(C19,Datenblatt!$B$84:$B$97,1,FALSE)),"","Ft")</f>
        <v/>
      </c>
      <c r="B19" s="84">
        <f t="shared" si="0"/>
        <v>45479</v>
      </c>
      <c r="C19" s="86">
        <f t="shared" si="6"/>
        <v>45479</v>
      </c>
      <c r="D19" s="67"/>
      <c r="E19" s="67"/>
      <c r="F19" s="68"/>
      <c r="G19" s="69"/>
      <c r="H19" s="68"/>
      <c r="I19" s="68"/>
      <c r="J19" s="99"/>
      <c r="K19" s="21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20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10" t="str">
        <f>IF(D19="","",IF(E18="ND",VLOOKUP(D19,Datenblatt!$A$2:$C$31,3,FALSE)-1,IF(E18="ND12,5",VLOOKUP(D19,Datenblatt!$A$2:$C$31,3,FALSE)-0.5,VLOOKUP(D19,Datenblatt!$A$2:$C$31,3,FALSE))))</f>
        <v/>
      </c>
      <c r="N19" s="211" t="str">
        <f t="shared" si="2"/>
        <v/>
      </c>
      <c r="O19" s="211" t="str">
        <f t="shared" si="3"/>
        <v/>
      </c>
      <c r="P19" s="186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103" t="str">
        <f>IF(D19="","",VLOOKUP(D19,Datenblatt!$A$2:$D$31,4,FALSE))</f>
        <v/>
      </c>
      <c r="R19" s="104" t="str">
        <f>IF(E19="","",VLOOKUP(E19,Datenblatt!$E$2:$G$28,2,FALSE))</f>
        <v/>
      </c>
      <c r="S19" s="105"/>
      <c r="T19" s="111">
        <f t="shared" si="7"/>
        <v>0</v>
      </c>
      <c r="U19" s="114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12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12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54">
        <f t="array" ref="X19">IF(T19=0,0,IF((AND((ROW(T19)=MATCH(TRUE,($T$1:$T$44)&gt;0,0)))),IF(W19&gt;=6,W19-6,0),IF(W19&gt;=2,2,W19)))</f>
        <v>0</v>
      </c>
      <c r="Y19" s="254">
        <f t="array" ref="Y19">IF(T18=0,0,(IF((AND((ROW(T18)=MATCH(TRUE,($T$1:$T$44)&gt;0,0)))),IF(W18&gt;=6,6,W18),IF(W18&gt;=2,W18-2,0))))</f>
        <v>0</v>
      </c>
      <c r="Z19" s="111" t="str">
        <f t="shared" si="1"/>
        <v/>
      </c>
      <c r="AA19" s="214">
        <f>IF(E18="ND",IF(ISERROR(MATCH(D19,Datenblatt!$L$2:$L$18,0)),3,2),IF(E18="ND12,5",IF(ISERROR(MATCH(D19,Datenblatt!$L$2:$L$18,0)),2.5,2),0))</f>
        <v>0</v>
      </c>
      <c r="AB19" s="214">
        <f>IF((IF(E19="ND",14-IF(D19="",0,VLOOKUP(D19,Datenblatt!$L$2:$M$30,2,FALSE)),IF(E19="ND12,5",2,0)))&lt;0,0,(IF(E19="ND",14-IF(D19="",0,VLOOKUP(D19,Datenblatt!$L$2:$M$30,2,FALSE)),IF(E19="ND12,5",2,0))))</f>
        <v>0</v>
      </c>
      <c r="AC19" s="214">
        <f t="shared" si="4"/>
        <v>0</v>
      </c>
      <c r="AD19" s="214">
        <f t="shared" si="5"/>
        <v>0</v>
      </c>
      <c r="AE19" s="214">
        <f t="shared" si="8"/>
        <v>0</v>
      </c>
      <c r="AF19" s="112">
        <f t="shared" si="9"/>
        <v>0</v>
      </c>
      <c r="AG19" s="112">
        <f t="shared" si="10"/>
        <v>0</v>
      </c>
      <c r="AH19" s="112">
        <f>IF(E19="",0,VLOOKUP(E19,Datenblatt!$E$2:$G$28,3,FALSE))</f>
        <v>0</v>
      </c>
    </row>
    <row r="20" spans="1:34" ht="13" customHeight="1">
      <c r="A20" s="89" t="str">
        <f>IF(ISERROR(VLOOKUP(C20,Datenblatt!$B$84:$B$97,1,FALSE)),"","Ft")</f>
        <v/>
      </c>
      <c r="B20" s="84">
        <f t="shared" si="0"/>
        <v>45480</v>
      </c>
      <c r="C20" s="86">
        <f t="shared" si="6"/>
        <v>45480</v>
      </c>
      <c r="D20" s="67"/>
      <c r="E20" s="67"/>
      <c r="F20" s="68"/>
      <c r="G20" s="69"/>
      <c r="H20" s="68"/>
      <c r="I20" s="68"/>
      <c r="J20" s="99"/>
      <c r="K20" s="21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20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10" t="str">
        <f>IF(D20="","",IF(E19="ND",VLOOKUP(D20,Datenblatt!$A$2:$C$31,3,FALSE)-1,IF(E19="ND12,5",VLOOKUP(D20,Datenblatt!$A$2:$C$31,3,FALSE)-0.5,VLOOKUP(D20,Datenblatt!$A$2:$C$31,3,FALSE))))</f>
        <v/>
      </c>
      <c r="N20" s="211" t="str">
        <f t="shared" si="2"/>
        <v/>
      </c>
      <c r="O20" s="211">
        <f t="shared" si="3"/>
        <v>0</v>
      </c>
      <c r="P20" s="186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103" t="str">
        <f>IF(D20="","",VLOOKUP(D20,Datenblatt!$A$2:$D$31,4,FALSE))</f>
        <v/>
      </c>
      <c r="R20" s="104" t="str">
        <f>IF(E20="","",VLOOKUP(E20,Datenblatt!$E$2:$G$28,2,FALSE))</f>
        <v/>
      </c>
      <c r="S20" s="105"/>
      <c r="T20" s="111">
        <f t="shared" si="7"/>
        <v>0</v>
      </c>
      <c r="U20" s="114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12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12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54">
        <f t="array" ref="X20">IF(T20=0,0,IF((AND((ROW(T20)=MATCH(TRUE,($T$1:$T$44)&gt;0,0)))),IF(W20&gt;=6,W20-6,0),IF(W20&gt;=2,2,W20)))</f>
        <v>0</v>
      </c>
      <c r="Y20" s="254">
        <f t="array" ref="Y20">IF(T19=0,0,(IF((AND((ROW(T19)=MATCH(TRUE,($T$1:$T$44)&gt;0,0)))),IF(W19&gt;=6,6,W19),IF(W19&gt;=2,W19-2,0))))</f>
        <v>0</v>
      </c>
      <c r="Z20" s="111" t="str">
        <f t="shared" si="1"/>
        <v/>
      </c>
      <c r="AA20" s="214">
        <f>IF(E19="ND",IF(ISERROR(MATCH(D20,Datenblatt!$L$2:$L$18,0)),3,2),IF(E19="ND12,5",IF(ISERROR(MATCH(D20,Datenblatt!$L$2:$L$18,0)),2.5,2),0))</f>
        <v>0</v>
      </c>
      <c r="AB20" s="214">
        <f>IF((IF(E20="ND",14-IF(D20="",0,VLOOKUP(D20,Datenblatt!$L$2:$M$30,2,FALSE)),IF(E20="ND12,5",2,0)))&lt;0,0,(IF(E20="ND",14-IF(D20="",0,VLOOKUP(D20,Datenblatt!$L$2:$M$30,2,FALSE)),IF(E20="ND12,5",2,0))))</f>
        <v>0</v>
      </c>
      <c r="AC20" s="214">
        <f t="shared" si="4"/>
        <v>0</v>
      </c>
      <c r="AD20" s="214">
        <f t="shared" si="5"/>
        <v>0</v>
      </c>
      <c r="AE20" s="214">
        <f t="shared" si="8"/>
        <v>0</v>
      </c>
      <c r="AF20" s="112">
        <f t="shared" si="9"/>
        <v>0</v>
      </c>
      <c r="AG20" s="112">
        <f t="shared" si="10"/>
        <v>0</v>
      </c>
      <c r="AH20" s="112">
        <f>IF(E20="",0,VLOOKUP(E20,Datenblatt!$E$2:$G$28,3,FALSE))</f>
        <v>0</v>
      </c>
    </row>
    <row r="21" spans="1:34" ht="13" customHeight="1">
      <c r="A21" s="89" t="str">
        <f>IF(ISERROR(VLOOKUP(C21,Datenblatt!$B$84:$B$97,1,FALSE)),"","Ft")</f>
        <v/>
      </c>
      <c r="B21" s="84">
        <f t="shared" si="0"/>
        <v>45481</v>
      </c>
      <c r="C21" s="86">
        <f t="shared" si="6"/>
        <v>45481</v>
      </c>
      <c r="D21" s="67"/>
      <c r="E21" s="67"/>
      <c r="F21" s="68"/>
      <c r="G21" s="69"/>
      <c r="H21" s="68"/>
      <c r="I21" s="68"/>
      <c r="J21" s="99"/>
      <c r="K21" s="21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20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10" t="str">
        <f>IF(D21="","",IF(E20="ND",VLOOKUP(D21,Datenblatt!$A$2:$C$31,3,FALSE)-1,IF(E20="ND12,5",VLOOKUP(D21,Datenblatt!$A$2:$C$31,3,FALSE)-0.5,VLOOKUP(D21,Datenblatt!$A$2:$C$31,3,FALSE))))</f>
        <v/>
      </c>
      <c r="N21" s="211" t="str">
        <f t="shared" si="2"/>
        <v/>
      </c>
      <c r="O21" s="211" t="str">
        <f t="shared" si="3"/>
        <v/>
      </c>
      <c r="P21" s="186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103" t="str">
        <f>IF(D21="","",VLOOKUP(D21,Datenblatt!$A$2:$D$31,4,FALSE))</f>
        <v/>
      </c>
      <c r="R21" s="104" t="str">
        <f>IF(E21="","",VLOOKUP(E21,Datenblatt!$E$2:$G$28,2,FALSE))</f>
        <v/>
      </c>
      <c r="S21" s="105"/>
      <c r="T21" s="111">
        <f t="shared" si="7"/>
        <v>0</v>
      </c>
      <c r="U21" s="114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12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12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54">
        <f t="array" ref="X21">IF(T21=0,0,IF((AND((ROW(T21)=MATCH(TRUE,($T$1:$T$44)&gt;0,0)))),IF(W21&gt;=6,W21-6,0),IF(W21&gt;=2,2,W21)))</f>
        <v>0</v>
      </c>
      <c r="Y21" s="254">
        <f t="array" ref="Y21">IF(T20=0,0,(IF((AND((ROW(T20)=MATCH(TRUE,($T$1:$T$44)&gt;0,0)))),IF(W20&gt;=6,6,W20),IF(W20&gt;=2,W20-2,0))))</f>
        <v>0</v>
      </c>
      <c r="Z21" s="111" t="str">
        <f t="shared" si="1"/>
        <v/>
      </c>
      <c r="AA21" s="214">
        <f>IF(E20="ND",IF(ISERROR(MATCH(D21,Datenblatt!$L$2:$L$18,0)),3,2),IF(E20="ND12,5",IF(ISERROR(MATCH(D21,Datenblatt!$L$2:$L$18,0)),2.5,2),0))</f>
        <v>0</v>
      </c>
      <c r="AB21" s="214">
        <f>IF((IF(E21="ND",14-IF(D21="",0,VLOOKUP(D21,Datenblatt!$L$2:$M$30,2,FALSE)),IF(E21="ND12,5",2,0)))&lt;0,0,(IF(E21="ND",14-IF(D21="",0,VLOOKUP(D21,Datenblatt!$L$2:$M$30,2,FALSE)),IF(E21="ND12,5",2,0))))</f>
        <v>0</v>
      </c>
      <c r="AC21" s="214">
        <f t="shared" si="4"/>
        <v>0</v>
      </c>
      <c r="AD21" s="214">
        <f t="shared" si="5"/>
        <v>0</v>
      </c>
      <c r="AE21" s="214">
        <f t="shared" si="8"/>
        <v>0</v>
      </c>
      <c r="AF21" s="112">
        <f t="shared" si="9"/>
        <v>0</v>
      </c>
      <c r="AG21" s="112">
        <f t="shared" si="10"/>
        <v>0</v>
      </c>
      <c r="AH21" s="112">
        <f>IF(E21="",0,VLOOKUP(E21,Datenblatt!$E$2:$G$28,3,FALSE))</f>
        <v>0</v>
      </c>
    </row>
    <row r="22" spans="1:34" ht="13" customHeight="1">
      <c r="A22" s="89" t="str">
        <f>IF(ISERROR(VLOOKUP(C22,Datenblatt!$B$84:$B$97,1,FALSE)),"","Ft")</f>
        <v/>
      </c>
      <c r="B22" s="84">
        <f t="shared" si="0"/>
        <v>45482</v>
      </c>
      <c r="C22" s="86">
        <f t="shared" si="6"/>
        <v>45482</v>
      </c>
      <c r="D22" s="67"/>
      <c r="E22" s="67"/>
      <c r="F22" s="68"/>
      <c r="G22" s="69"/>
      <c r="H22" s="68"/>
      <c r="I22" s="68"/>
      <c r="J22" s="99"/>
      <c r="K22" s="21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20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10" t="str">
        <f>IF(D22="","",IF(E21="ND",VLOOKUP(D22,Datenblatt!$A$2:$C$31,3,FALSE)-1,IF(E21="ND12,5",VLOOKUP(D22,Datenblatt!$A$2:$C$31,3,FALSE)-0.5,VLOOKUP(D22,Datenblatt!$A$2:$C$31,3,FALSE))))</f>
        <v/>
      </c>
      <c r="N22" s="211" t="str">
        <f t="shared" si="2"/>
        <v/>
      </c>
      <c r="O22" s="211" t="str">
        <f t="shared" si="3"/>
        <v/>
      </c>
      <c r="P22" s="186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103" t="str">
        <f>IF(D22="","",VLOOKUP(D22,Datenblatt!$A$2:$D$31,4,FALSE))</f>
        <v/>
      </c>
      <c r="R22" s="104" t="str">
        <f>IF(E22="","",VLOOKUP(E22,Datenblatt!$E$2:$G$28,2,FALSE))</f>
        <v/>
      </c>
      <c r="S22" s="105"/>
      <c r="T22" s="111">
        <f t="shared" si="7"/>
        <v>0</v>
      </c>
      <c r="U22" s="114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12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12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54">
        <f t="array" ref="X22">IF(T22=0,0,IF((AND((ROW(T22)=MATCH(TRUE,($T$1:$T$44)&gt;0,0)))),IF(W22&gt;=6,W22-6,0),IF(W22&gt;=2,2,W22)))</f>
        <v>0</v>
      </c>
      <c r="Y22" s="254">
        <f t="array" ref="Y22">IF(T21=0,0,(IF((AND((ROW(T21)=MATCH(TRUE,($T$1:$T$44)&gt;0,0)))),IF(W21&gt;=6,6,W21),IF(W21&gt;=2,W21-2,0))))</f>
        <v>0</v>
      </c>
      <c r="Z22" s="111" t="str">
        <f t="shared" si="1"/>
        <v/>
      </c>
      <c r="AA22" s="214">
        <f>IF(E21="ND",IF(ISERROR(MATCH(D22,Datenblatt!$L$2:$L$18,0)),3,2),IF(E21="ND12,5",IF(ISERROR(MATCH(D22,Datenblatt!$L$2:$L$18,0)),2.5,2),0))</f>
        <v>0</v>
      </c>
      <c r="AB22" s="214">
        <f>IF((IF(E22="ND",14-IF(D22="",0,VLOOKUP(D22,Datenblatt!$L$2:$M$30,2,FALSE)),IF(E22="ND12,5",2,0)))&lt;0,0,(IF(E22="ND",14-IF(D22="",0,VLOOKUP(D22,Datenblatt!$L$2:$M$30,2,FALSE)),IF(E22="ND12,5",2,0))))</f>
        <v>0</v>
      </c>
      <c r="AC22" s="214">
        <f t="shared" si="4"/>
        <v>0</v>
      </c>
      <c r="AD22" s="214">
        <f t="shared" si="5"/>
        <v>0</v>
      </c>
      <c r="AE22" s="214">
        <f t="shared" si="8"/>
        <v>0</v>
      </c>
      <c r="AF22" s="112">
        <f t="shared" si="9"/>
        <v>0</v>
      </c>
      <c r="AG22" s="112">
        <f t="shared" si="10"/>
        <v>0</v>
      </c>
      <c r="AH22" s="112">
        <f>IF(E22="",0,VLOOKUP(E22,Datenblatt!$E$2:$G$28,3,FALSE))</f>
        <v>0</v>
      </c>
    </row>
    <row r="23" spans="1:34" ht="13" customHeight="1">
      <c r="A23" s="89" t="str">
        <f>IF(ISERROR(VLOOKUP(C23,Datenblatt!$B$84:$B$97,1,FALSE)),"","Ft")</f>
        <v/>
      </c>
      <c r="B23" s="84">
        <f t="shared" si="0"/>
        <v>45483</v>
      </c>
      <c r="C23" s="86">
        <f t="shared" si="6"/>
        <v>45483</v>
      </c>
      <c r="D23" s="67"/>
      <c r="E23" s="67"/>
      <c r="F23" s="68"/>
      <c r="G23" s="69"/>
      <c r="H23" s="68"/>
      <c r="I23" s="68"/>
      <c r="J23" s="99"/>
      <c r="K23" s="21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20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10" t="str">
        <f>IF(D23="","",IF(E22="ND",VLOOKUP(D23,Datenblatt!$A$2:$C$31,3,FALSE)-1,IF(E22="ND12,5",VLOOKUP(D23,Datenblatt!$A$2:$C$31,3,FALSE)-0.5,VLOOKUP(D23,Datenblatt!$A$2:$C$31,3,FALSE))))</f>
        <v/>
      </c>
      <c r="N23" s="211" t="str">
        <f t="shared" si="2"/>
        <v/>
      </c>
      <c r="O23" s="211" t="str">
        <f t="shared" si="3"/>
        <v/>
      </c>
      <c r="P23" s="186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103" t="str">
        <f>IF(D23="","",VLOOKUP(D23,Datenblatt!$A$2:$D$31,4,FALSE))</f>
        <v/>
      </c>
      <c r="R23" s="104" t="str">
        <f>IF(E23="","",VLOOKUP(E23,Datenblatt!$E$2:$G$28,2,FALSE))</f>
        <v/>
      </c>
      <c r="S23" s="105"/>
      <c r="T23" s="111">
        <f t="shared" si="7"/>
        <v>0</v>
      </c>
      <c r="U23" s="114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12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12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54">
        <f t="array" ref="X23">IF(T23=0,0,IF((AND((ROW(T23)=MATCH(TRUE,($T$1:$T$44)&gt;0,0)))),IF(W23&gt;=6,W23-6,0),IF(W23&gt;=2,2,W23)))</f>
        <v>0</v>
      </c>
      <c r="Y23" s="254">
        <f t="array" ref="Y23">IF(T22=0,0,(IF((AND((ROW(T22)=MATCH(TRUE,($T$1:$T$44)&gt;0,0)))),IF(W22&gt;=6,6,W22),IF(W22&gt;=2,W22-2,0))))</f>
        <v>0</v>
      </c>
      <c r="Z23" s="111" t="str">
        <f t="shared" si="1"/>
        <v/>
      </c>
      <c r="AA23" s="214">
        <f>IF(E22="ND",IF(ISERROR(MATCH(D23,Datenblatt!$L$2:$L$18,0)),3,2),IF(E22="ND12,5",IF(ISERROR(MATCH(D23,Datenblatt!$L$2:$L$18,0)),2.5,2),0))</f>
        <v>0</v>
      </c>
      <c r="AB23" s="214">
        <f>IF((IF(E23="ND",14-IF(D23="",0,VLOOKUP(D23,Datenblatt!$L$2:$M$30,2,FALSE)),IF(E23="ND12,5",2,0)))&lt;0,0,(IF(E23="ND",14-IF(D23="",0,VLOOKUP(D23,Datenblatt!$L$2:$M$30,2,FALSE)),IF(E23="ND12,5",2,0))))</f>
        <v>0</v>
      </c>
      <c r="AC23" s="214">
        <f t="shared" si="4"/>
        <v>0</v>
      </c>
      <c r="AD23" s="214">
        <f t="shared" si="5"/>
        <v>0</v>
      </c>
      <c r="AE23" s="214">
        <f t="shared" si="8"/>
        <v>0</v>
      </c>
      <c r="AF23" s="112">
        <f t="shared" si="9"/>
        <v>0</v>
      </c>
      <c r="AG23" s="112">
        <f t="shared" si="10"/>
        <v>0</v>
      </c>
      <c r="AH23" s="112">
        <f>IF(E23="",0,VLOOKUP(E23,Datenblatt!$E$2:$G$28,3,FALSE))</f>
        <v>0</v>
      </c>
    </row>
    <row r="24" spans="1:34" ht="13" customHeight="1">
      <c r="A24" s="89" t="str">
        <f>IF(ISERROR(VLOOKUP(C24,Datenblatt!$B$84:$B$97,1,FALSE)),"","Ft")</f>
        <v/>
      </c>
      <c r="B24" s="84">
        <f t="shared" si="0"/>
        <v>45484</v>
      </c>
      <c r="C24" s="86">
        <f t="shared" si="6"/>
        <v>45484</v>
      </c>
      <c r="D24" s="67"/>
      <c r="E24" s="67"/>
      <c r="F24" s="68"/>
      <c r="G24" s="69"/>
      <c r="H24" s="68"/>
      <c r="I24" s="68"/>
      <c r="J24" s="99"/>
      <c r="K24" s="21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20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10" t="str">
        <f>IF(D24="","",IF(E23="ND",VLOOKUP(D24,Datenblatt!$A$2:$C$31,3,FALSE)-1,IF(E23="ND12,5",VLOOKUP(D24,Datenblatt!$A$2:$C$31,3,FALSE)-0.5,VLOOKUP(D24,Datenblatt!$A$2:$C$31,3,FALSE))))</f>
        <v/>
      </c>
      <c r="N24" s="211" t="str">
        <f t="shared" si="2"/>
        <v/>
      </c>
      <c r="O24" s="211" t="str">
        <f t="shared" si="3"/>
        <v/>
      </c>
      <c r="P24" s="186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103" t="str">
        <f>IF(D24="","",VLOOKUP(D24,Datenblatt!$A$2:$D$31,4,FALSE))</f>
        <v/>
      </c>
      <c r="R24" s="104" t="str">
        <f>IF(E24="","",VLOOKUP(E24,Datenblatt!$E$2:$G$28,2,FALSE))</f>
        <v/>
      </c>
      <c r="S24" s="105"/>
      <c r="T24" s="111">
        <f t="shared" si="7"/>
        <v>0</v>
      </c>
      <c r="U24" s="114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12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12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54">
        <f t="array" ref="X24">IF(T24=0,0,IF((AND((ROW(T24)=MATCH(TRUE,($T$1:$T$44)&gt;0,0)))),IF(W24&gt;=6,W24-6,0),IF(W24&gt;=2,2,W24)))</f>
        <v>0</v>
      </c>
      <c r="Y24" s="254">
        <f t="array" ref="Y24">IF(T23=0,0,(IF((AND((ROW(T23)=MATCH(TRUE,($T$1:$T$44)&gt;0,0)))),IF(W23&gt;=6,6,W23),IF(W23&gt;=2,W23-2,0))))</f>
        <v>0</v>
      </c>
      <c r="Z24" s="111" t="str">
        <f t="shared" si="1"/>
        <v/>
      </c>
      <c r="AA24" s="214">
        <f>IF(E23="ND",IF(ISERROR(MATCH(D24,Datenblatt!$L$2:$L$18,0)),3,2),IF(E23="ND12,5",IF(ISERROR(MATCH(D24,Datenblatt!$L$2:$L$18,0)),2.5,2),0))</f>
        <v>0</v>
      </c>
      <c r="AB24" s="214">
        <f>IF((IF(E24="ND",14-IF(D24="",0,VLOOKUP(D24,Datenblatt!$L$2:$M$30,2,FALSE)),IF(E24="ND12,5",2,0)))&lt;0,0,(IF(E24="ND",14-IF(D24="",0,VLOOKUP(D24,Datenblatt!$L$2:$M$30,2,FALSE)),IF(E24="ND12,5",2,0))))</f>
        <v>0</v>
      </c>
      <c r="AC24" s="214">
        <f t="shared" si="4"/>
        <v>0</v>
      </c>
      <c r="AD24" s="214">
        <f t="shared" si="5"/>
        <v>0</v>
      </c>
      <c r="AE24" s="214">
        <f t="shared" si="8"/>
        <v>0</v>
      </c>
      <c r="AF24" s="112">
        <f t="shared" si="9"/>
        <v>0</v>
      </c>
      <c r="AG24" s="112">
        <f t="shared" si="10"/>
        <v>0</v>
      </c>
      <c r="AH24" s="112">
        <f>IF(E24="",0,VLOOKUP(E24,Datenblatt!$E$2:$G$28,3,FALSE))</f>
        <v>0</v>
      </c>
    </row>
    <row r="25" spans="1:34" ht="13" customHeight="1">
      <c r="A25" s="89" t="str">
        <f>IF(ISERROR(VLOOKUP(C25,Datenblatt!$B$84:$B$97,1,FALSE)),"","Ft")</f>
        <v/>
      </c>
      <c r="B25" s="84">
        <f t="shared" si="0"/>
        <v>45485</v>
      </c>
      <c r="C25" s="86">
        <f t="shared" si="6"/>
        <v>45485</v>
      </c>
      <c r="D25" s="67"/>
      <c r="E25" s="67"/>
      <c r="F25" s="68"/>
      <c r="G25" s="69"/>
      <c r="H25" s="68"/>
      <c r="I25" s="68"/>
      <c r="J25" s="99"/>
      <c r="K25" s="21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20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10" t="str">
        <f>IF(D25="","",IF(E24="ND",VLOOKUP(D25,Datenblatt!$A$2:$C$31,3,FALSE)-1,IF(E24="ND12,5",VLOOKUP(D25,Datenblatt!$A$2:$C$31,3,FALSE)-0.5,VLOOKUP(D25,Datenblatt!$A$2:$C$31,3,FALSE))))</f>
        <v/>
      </c>
      <c r="N25" s="211" t="str">
        <f t="shared" si="2"/>
        <v/>
      </c>
      <c r="O25" s="211" t="str">
        <f t="shared" si="3"/>
        <v/>
      </c>
      <c r="P25" s="186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103" t="str">
        <f>IF(D25="","",VLOOKUP(D25,Datenblatt!$A$2:$D$31,4,FALSE))</f>
        <v/>
      </c>
      <c r="R25" s="104" t="str">
        <f>IF(E25="","",VLOOKUP(E25,Datenblatt!$E$2:$G$28,2,FALSE))</f>
        <v/>
      </c>
      <c r="S25" s="105"/>
      <c r="T25" s="111">
        <f t="shared" si="7"/>
        <v>0</v>
      </c>
      <c r="U25" s="114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12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12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54">
        <f t="array" ref="X25">IF(T25=0,0,IF((AND((ROW(T25)=MATCH(TRUE,($T$1:$T$44)&gt;0,0)))),IF(W25&gt;=6,W25-6,0),IF(W25&gt;=2,2,W25)))</f>
        <v>0</v>
      </c>
      <c r="Y25" s="254">
        <f t="array" ref="Y25">IF(T24=0,0,(IF((AND((ROW(T24)=MATCH(TRUE,($T$1:$T$44)&gt;0,0)))),IF(W24&gt;=6,6,W24),IF(W24&gt;=2,W24-2,0))))</f>
        <v>0</v>
      </c>
      <c r="Z25" s="111" t="str">
        <f t="shared" si="1"/>
        <v/>
      </c>
      <c r="AA25" s="214">
        <f>IF(E24="ND",IF(ISERROR(MATCH(D25,Datenblatt!$L$2:$L$18,0)),3,2),IF(E24="ND12,5",IF(ISERROR(MATCH(D25,Datenblatt!$L$2:$L$18,0)),2.5,2),0))</f>
        <v>0</v>
      </c>
      <c r="AB25" s="214">
        <f>IF((IF(E25="ND",14-IF(D25="",0,VLOOKUP(D25,Datenblatt!$L$2:$M$30,2,FALSE)),IF(E25="ND12,5",2,0)))&lt;0,0,(IF(E25="ND",14-IF(D25="",0,VLOOKUP(D25,Datenblatt!$L$2:$M$30,2,FALSE)),IF(E25="ND12,5",2,0))))</f>
        <v>0</v>
      </c>
      <c r="AC25" s="214">
        <f t="shared" si="4"/>
        <v>0</v>
      </c>
      <c r="AD25" s="214">
        <f t="shared" si="5"/>
        <v>0</v>
      </c>
      <c r="AE25" s="214">
        <f t="shared" si="8"/>
        <v>0</v>
      </c>
      <c r="AF25" s="112">
        <f t="shared" si="9"/>
        <v>0</v>
      </c>
      <c r="AG25" s="112">
        <f t="shared" si="10"/>
        <v>0</v>
      </c>
      <c r="AH25" s="112">
        <f>IF(E25="",0,VLOOKUP(E25,Datenblatt!$E$2:$G$28,3,FALSE))</f>
        <v>0</v>
      </c>
    </row>
    <row r="26" spans="1:34" ht="13" customHeight="1">
      <c r="A26" s="89" t="str">
        <f>IF(ISERROR(VLOOKUP(C26,Datenblatt!$B$84:$B$97,1,FALSE)),"","Ft")</f>
        <v/>
      </c>
      <c r="B26" s="84">
        <f t="shared" si="0"/>
        <v>45486</v>
      </c>
      <c r="C26" s="86">
        <f t="shared" si="6"/>
        <v>45486</v>
      </c>
      <c r="D26" s="67"/>
      <c r="E26" s="67"/>
      <c r="F26" s="68"/>
      <c r="G26" s="69"/>
      <c r="H26" s="68"/>
      <c r="I26" s="68"/>
      <c r="J26" s="99"/>
      <c r="K26" s="21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20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10" t="str">
        <f>IF(D26="","",IF(E25="ND",VLOOKUP(D26,Datenblatt!$A$2:$C$31,3,FALSE)-1,IF(E25="ND12,5",VLOOKUP(D26,Datenblatt!$A$2:$C$31,3,FALSE)-0.5,VLOOKUP(D26,Datenblatt!$A$2:$C$31,3,FALSE))))</f>
        <v/>
      </c>
      <c r="N26" s="211" t="str">
        <f t="shared" si="2"/>
        <v/>
      </c>
      <c r="O26" s="211" t="str">
        <f t="shared" si="3"/>
        <v/>
      </c>
      <c r="P26" s="186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103" t="str">
        <f>IF(D26="","",VLOOKUP(D26,Datenblatt!$A$2:$D$31,4,FALSE))</f>
        <v/>
      </c>
      <c r="R26" s="104" t="str">
        <f>IF(E26="","",VLOOKUP(E26,Datenblatt!$E$2:$G$28,2,FALSE))</f>
        <v/>
      </c>
      <c r="S26" s="105"/>
      <c r="T26" s="111">
        <f t="shared" si="7"/>
        <v>0</v>
      </c>
      <c r="U26" s="114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12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12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54">
        <f t="array" ref="X26">IF(T26=0,0,IF((AND((ROW(T26)=MATCH(TRUE,($T$1:$T$44)&gt;0,0)))),IF(W26&gt;=6,W26-6,0),IF(W26&gt;=2,2,W26)))</f>
        <v>0</v>
      </c>
      <c r="Y26" s="254">
        <f t="array" ref="Y26">IF(T25=0,0,(IF((AND((ROW(T25)=MATCH(TRUE,($T$1:$T$44)&gt;0,0)))),IF(W25&gt;=6,6,W25),IF(W25&gt;=2,W25-2,0))))</f>
        <v>0</v>
      </c>
      <c r="Z26" s="111" t="str">
        <f t="shared" si="1"/>
        <v/>
      </c>
      <c r="AA26" s="214">
        <f>IF(E25="ND",IF(ISERROR(MATCH(D26,Datenblatt!$L$2:$L$18,0)),3,2),IF(E25="ND12,5",IF(ISERROR(MATCH(D26,Datenblatt!$L$2:$L$18,0)),2.5,2),0))</f>
        <v>0</v>
      </c>
      <c r="AB26" s="214">
        <f>IF((IF(E26="ND",14-IF(D26="",0,VLOOKUP(D26,Datenblatt!$L$2:$M$30,2,FALSE)),IF(E26="ND12,5",2,0)))&lt;0,0,(IF(E26="ND",14-IF(D26="",0,VLOOKUP(D26,Datenblatt!$L$2:$M$30,2,FALSE)),IF(E26="ND12,5",2,0))))</f>
        <v>0</v>
      </c>
      <c r="AC26" s="214">
        <f t="shared" si="4"/>
        <v>0</v>
      </c>
      <c r="AD26" s="214">
        <f t="shared" si="5"/>
        <v>0</v>
      </c>
      <c r="AE26" s="214">
        <f t="shared" si="8"/>
        <v>0</v>
      </c>
      <c r="AF26" s="112">
        <f t="shared" si="9"/>
        <v>0</v>
      </c>
      <c r="AG26" s="112">
        <f t="shared" si="10"/>
        <v>0</v>
      </c>
      <c r="AH26" s="112">
        <f>IF(E26="",0,VLOOKUP(E26,Datenblatt!$E$2:$G$28,3,FALSE))</f>
        <v>0</v>
      </c>
    </row>
    <row r="27" spans="1:34" ht="13" customHeight="1">
      <c r="A27" s="89" t="str">
        <f>IF(ISERROR(VLOOKUP(C27,Datenblatt!$B$84:$B$97,1,FALSE)),"","Ft")</f>
        <v/>
      </c>
      <c r="B27" s="84">
        <f t="shared" si="0"/>
        <v>45487</v>
      </c>
      <c r="C27" s="86">
        <f t="shared" si="6"/>
        <v>45487</v>
      </c>
      <c r="D27" s="67"/>
      <c r="E27" s="67"/>
      <c r="F27" s="68"/>
      <c r="G27" s="69"/>
      <c r="H27" s="68"/>
      <c r="I27" s="68"/>
      <c r="J27" s="99"/>
      <c r="K27" s="21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20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10" t="str">
        <f>IF(D27="","",IF(E26="ND",VLOOKUP(D27,Datenblatt!$A$2:$C$31,3,FALSE)-1,IF(E26="ND12,5",VLOOKUP(D27,Datenblatt!$A$2:$C$31,3,FALSE)-0.5,VLOOKUP(D27,Datenblatt!$A$2:$C$31,3,FALSE))))</f>
        <v/>
      </c>
      <c r="N27" s="211" t="str">
        <f t="shared" si="2"/>
        <v/>
      </c>
      <c r="O27" s="211">
        <f t="shared" si="3"/>
        <v>0</v>
      </c>
      <c r="P27" s="186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103" t="str">
        <f>IF(D27="","",VLOOKUP(D27,Datenblatt!$A$2:$D$31,4,FALSE))</f>
        <v/>
      </c>
      <c r="R27" s="104" t="str">
        <f>IF(E27="","",VLOOKUP(E27,Datenblatt!$E$2:$G$28,2,FALSE))</f>
        <v/>
      </c>
      <c r="S27" s="105"/>
      <c r="T27" s="111">
        <f t="shared" si="7"/>
        <v>0</v>
      </c>
      <c r="U27" s="114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12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12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54">
        <f t="array" ref="X27">IF(T27=0,0,IF((AND((ROW(T27)=MATCH(TRUE,($T$1:$T$44)&gt;0,0)))),IF(W27&gt;=6,W27-6,0),IF(W27&gt;=2,2,W27)))</f>
        <v>0</v>
      </c>
      <c r="Y27" s="254">
        <f t="array" ref="Y27">IF(T26=0,0,(IF((AND((ROW(T26)=MATCH(TRUE,($T$1:$T$44)&gt;0,0)))),IF(W26&gt;=6,6,W26),IF(W26&gt;=2,W26-2,0))))</f>
        <v>0</v>
      </c>
      <c r="Z27" s="111" t="str">
        <f t="shared" si="1"/>
        <v/>
      </c>
      <c r="AA27" s="214">
        <f>IF(E26="ND",IF(ISERROR(MATCH(D27,Datenblatt!$L$2:$L$18,0)),3,2),IF(E26="ND12,5",IF(ISERROR(MATCH(D27,Datenblatt!$L$2:$L$18,0)),2.5,2),0))</f>
        <v>0</v>
      </c>
      <c r="AB27" s="214">
        <f>IF((IF(E27="ND",14-IF(D27="",0,VLOOKUP(D27,Datenblatt!$L$2:$M$30,2,FALSE)),IF(E27="ND12,5",2,0)))&lt;0,0,(IF(E27="ND",14-IF(D27="",0,VLOOKUP(D27,Datenblatt!$L$2:$M$30,2,FALSE)),IF(E27="ND12,5",2,0))))</f>
        <v>0</v>
      </c>
      <c r="AC27" s="214">
        <f t="shared" si="4"/>
        <v>0</v>
      </c>
      <c r="AD27" s="214">
        <f t="shared" si="5"/>
        <v>0</v>
      </c>
      <c r="AE27" s="214">
        <f t="shared" si="8"/>
        <v>0</v>
      </c>
      <c r="AF27" s="112">
        <f t="shared" si="9"/>
        <v>0</v>
      </c>
      <c r="AG27" s="112">
        <f t="shared" si="10"/>
        <v>0</v>
      </c>
      <c r="AH27" s="112">
        <f>IF(E27="",0,VLOOKUP(E27,Datenblatt!$E$2:$G$28,3,FALSE))</f>
        <v>0</v>
      </c>
    </row>
    <row r="28" spans="1:34" ht="13" customHeight="1">
      <c r="A28" s="89" t="str">
        <f>IF(ISERROR(VLOOKUP(C28,Datenblatt!$B$84:$B$97,1,FALSE)),"","Ft")</f>
        <v/>
      </c>
      <c r="B28" s="84">
        <f t="shared" si="0"/>
        <v>45488</v>
      </c>
      <c r="C28" s="86">
        <f t="shared" si="6"/>
        <v>45488</v>
      </c>
      <c r="D28" s="67"/>
      <c r="E28" s="67"/>
      <c r="F28" s="68"/>
      <c r="G28" s="69"/>
      <c r="H28" s="68"/>
      <c r="I28" s="68"/>
      <c r="J28" s="99"/>
      <c r="K28" s="21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20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10" t="str">
        <f>IF(D28="","",IF(E27="ND",VLOOKUP(D28,Datenblatt!$A$2:$C$31,3,FALSE)-1,IF(E27="ND12,5",VLOOKUP(D28,Datenblatt!$A$2:$C$31,3,FALSE)-0.5,VLOOKUP(D28,Datenblatt!$A$2:$C$31,3,FALSE))))</f>
        <v/>
      </c>
      <c r="N28" s="211" t="str">
        <f t="shared" si="2"/>
        <v/>
      </c>
      <c r="O28" s="211" t="str">
        <f t="shared" si="3"/>
        <v/>
      </c>
      <c r="P28" s="186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103" t="str">
        <f>IF(D28="","",VLOOKUP(D28,Datenblatt!$A$2:$D$31,4,FALSE))</f>
        <v/>
      </c>
      <c r="R28" s="104" t="str">
        <f>IF(E28="","",VLOOKUP(E28,Datenblatt!$E$2:$G$28,2,FALSE))</f>
        <v/>
      </c>
      <c r="S28" s="105"/>
      <c r="T28" s="111">
        <f t="shared" si="7"/>
        <v>0</v>
      </c>
      <c r="U28" s="114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12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12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54">
        <f t="array" ref="X28">IF(T28=0,0,IF((AND((ROW(T28)=MATCH(TRUE,($T$1:$T$44)&gt;0,0)))),IF(W28&gt;=6,W28-6,0),IF(W28&gt;=2,2,W28)))</f>
        <v>0</v>
      </c>
      <c r="Y28" s="254">
        <f t="array" ref="Y28">IF(T27=0,0,(IF((AND((ROW(T27)=MATCH(TRUE,($T$1:$T$44)&gt;0,0)))),IF(W27&gt;=6,6,W27),IF(W27&gt;=2,W27-2,0))))</f>
        <v>0</v>
      </c>
      <c r="Z28" s="111" t="str">
        <f t="shared" si="1"/>
        <v/>
      </c>
      <c r="AA28" s="214">
        <f>IF(E27="ND",IF(ISERROR(MATCH(D28,Datenblatt!$L$2:$L$18,0)),3,2),IF(E27="ND12,5",IF(ISERROR(MATCH(D28,Datenblatt!$L$2:$L$18,0)),2.5,2),0))</f>
        <v>0</v>
      </c>
      <c r="AB28" s="214">
        <f>IF((IF(E28="ND",14-IF(D28="",0,VLOOKUP(D28,Datenblatt!$L$2:$M$30,2,FALSE)),IF(E28="ND12,5",2,0)))&lt;0,0,(IF(E28="ND",14-IF(D28="",0,VLOOKUP(D28,Datenblatt!$L$2:$M$30,2,FALSE)),IF(E28="ND12,5",2,0))))</f>
        <v>0</v>
      </c>
      <c r="AC28" s="214">
        <f t="shared" si="4"/>
        <v>0</v>
      </c>
      <c r="AD28" s="214">
        <f t="shared" si="5"/>
        <v>0</v>
      </c>
      <c r="AE28" s="214">
        <f t="shared" si="8"/>
        <v>0</v>
      </c>
      <c r="AF28" s="112">
        <f t="shared" si="9"/>
        <v>0</v>
      </c>
      <c r="AG28" s="112">
        <f t="shared" si="10"/>
        <v>0</v>
      </c>
      <c r="AH28" s="112">
        <f>IF(E28="",0,VLOOKUP(E28,Datenblatt!$E$2:$G$28,3,FALSE))</f>
        <v>0</v>
      </c>
    </row>
    <row r="29" spans="1:34" ht="13" customHeight="1">
      <c r="A29" s="89" t="str">
        <f>IF(ISERROR(VLOOKUP(C29,Datenblatt!$B$84:$B$97,1,FALSE)),"","Ft")</f>
        <v/>
      </c>
      <c r="B29" s="84">
        <f t="shared" si="0"/>
        <v>45489</v>
      </c>
      <c r="C29" s="86">
        <f t="shared" si="6"/>
        <v>45489</v>
      </c>
      <c r="D29" s="67"/>
      <c r="E29" s="67"/>
      <c r="F29" s="68"/>
      <c r="G29" s="69"/>
      <c r="H29" s="68"/>
      <c r="I29" s="68"/>
      <c r="J29" s="99"/>
      <c r="K29" s="21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20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10" t="str">
        <f>IF(D29="","",IF(E28="ND",VLOOKUP(D29,Datenblatt!$A$2:$C$31,3,FALSE)-1,IF(E28="ND12,5",VLOOKUP(D29,Datenblatt!$A$2:$C$31,3,FALSE)-0.5,VLOOKUP(D29,Datenblatt!$A$2:$C$31,3,FALSE))))</f>
        <v/>
      </c>
      <c r="N29" s="211" t="str">
        <f t="shared" si="2"/>
        <v/>
      </c>
      <c r="O29" s="211" t="str">
        <f t="shared" si="3"/>
        <v/>
      </c>
      <c r="P29" s="186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103" t="str">
        <f>IF(D29="","",VLOOKUP(D29,Datenblatt!$A$2:$D$31,4,FALSE))</f>
        <v/>
      </c>
      <c r="R29" s="104" t="str">
        <f>IF(E29="","",VLOOKUP(E29,Datenblatt!$E$2:$G$28,2,FALSE))</f>
        <v/>
      </c>
      <c r="S29" s="105"/>
      <c r="T29" s="111">
        <f t="shared" si="7"/>
        <v>0</v>
      </c>
      <c r="U29" s="114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12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12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54">
        <f t="array" ref="X29">IF(T29=0,0,IF((AND((ROW(T29)=MATCH(TRUE,($T$1:$T$44)&gt;0,0)))),IF(W29&gt;=6,W29-6,0),IF(W29&gt;=2,2,W29)))</f>
        <v>0</v>
      </c>
      <c r="Y29" s="254">
        <f t="array" ref="Y29">IF(T28=0,0,(IF((AND((ROW(T28)=MATCH(TRUE,($T$1:$T$44)&gt;0,0)))),IF(W28&gt;=6,6,W28),IF(W28&gt;=2,W28-2,0))))</f>
        <v>0</v>
      </c>
      <c r="Z29" s="111" t="str">
        <f t="shared" si="1"/>
        <v/>
      </c>
      <c r="AA29" s="214">
        <f>IF(E28="ND",IF(ISERROR(MATCH(D29,Datenblatt!$L$2:$L$18,0)),3,2),IF(E28="ND12,5",IF(ISERROR(MATCH(D29,Datenblatt!$L$2:$L$18,0)),2.5,2),0))</f>
        <v>0</v>
      </c>
      <c r="AB29" s="214">
        <f>IF((IF(E29="ND",14-IF(D29="",0,VLOOKUP(D29,Datenblatt!$L$2:$M$30,2,FALSE)),IF(E29="ND12,5",2,0)))&lt;0,0,(IF(E29="ND",14-IF(D29="",0,VLOOKUP(D29,Datenblatt!$L$2:$M$30,2,FALSE)),IF(E29="ND12,5",2,0))))</f>
        <v>0</v>
      </c>
      <c r="AC29" s="214">
        <f t="shared" si="4"/>
        <v>0</v>
      </c>
      <c r="AD29" s="214">
        <f t="shared" si="5"/>
        <v>0</v>
      </c>
      <c r="AE29" s="214">
        <f t="shared" si="8"/>
        <v>0</v>
      </c>
      <c r="AF29" s="112">
        <f t="shared" si="9"/>
        <v>0</v>
      </c>
      <c r="AG29" s="112">
        <f t="shared" si="10"/>
        <v>0</v>
      </c>
      <c r="AH29" s="112">
        <f>IF(E29="",0,VLOOKUP(E29,Datenblatt!$E$2:$G$28,3,FALSE))</f>
        <v>0</v>
      </c>
    </row>
    <row r="30" spans="1:34" ht="13" customHeight="1">
      <c r="A30" s="89" t="str">
        <f>IF(ISERROR(VLOOKUP(C30,Datenblatt!$B$84:$B$97,1,FALSE)),"","Ft")</f>
        <v/>
      </c>
      <c r="B30" s="84">
        <f t="shared" si="0"/>
        <v>45490</v>
      </c>
      <c r="C30" s="86">
        <f t="shared" si="6"/>
        <v>45490</v>
      </c>
      <c r="D30" s="67"/>
      <c r="E30" s="67"/>
      <c r="F30" s="68"/>
      <c r="G30" s="69"/>
      <c r="H30" s="68"/>
      <c r="I30" s="68"/>
      <c r="J30" s="99"/>
      <c r="K30" s="21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20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10" t="str">
        <f>IF(D30="","",IF(E29="ND",VLOOKUP(D30,Datenblatt!$A$2:$C$31,3,FALSE)-1,IF(E29="ND12,5",VLOOKUP(D30,Datenblatt!$A$2:$C$31,3,FALSE)-0.5,VLOOKUP(D30,Datenblatt!$A$2:$C$31,3,FALSE))))</f>
        <v/>
      </c>
      <c r="N30" s="211" t="str">
        <f t="shared" si="2"/>
        <v/>
      </c>
      <c r="O30" s="211" t="str">
        <f t="shared" si="3"/>
        <v/>
      </c>
      <c r="P30" s="186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103" t="str">
        <f>IF(D30="","",VLOOKUP(D30,Datenblatt!$A$2:$D$31,4,FALSE))</f>
        <v/>
      </c>
      <c r="R30" s="104" t="str">
        <f>IF(E30="","",VLOOKUP(E30,Datenblatt!$E$2:$G$28,2,FALSE))</f>
        <v/>
      </c>
      <c r="S30" s="105"/>
      <c r="T30" s="111">
        <f t="shared" si="7"/>
        <v>0</v>
      </c>
      <c r="U30" s="114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12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12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54">
        <f t="array" ref="X30">IF(T30=0,0,IF((AND((ROW(T30)=MATCH(TRUE,($T$1:$T$44)&gt;0,0)))),IF(W30&gt;=6,W30-6,0),IF(W30&gt;=2,2,W30)))</f>
        <v>0</v>
      </c>
      <c r="Y30" s="254">
        <f t="array" ref="Y30">IF(T29=0,0,(IF((AND((ROW(T29)=MATCH(TRUE,($T$1:$T$44)&gt;0,0)))),IF(W29&gt;=6,6,W29),IF(W29&gt;=2,W29-2,0))))</f>
        <v>0</v>
      </c>
      <c r="Z30" s="111" t="str">
        <f t="shared" si="1"/>
        <v/>
      </c>
      <c r="AA30" s="214">
        <f>IF(E29="ND",IF(ISERROR(MATCH(D30,Datenblatt!$L$2:$L$18,0)),3,2),IF(E29="ND12,5",IF(ISERROR(MATCH(D30,Datenblatt!$L$2:$L$18,0)),2.5,2),0))</f>
        <v>0</v>
      </c>
      <c r="AB30" s="214">
        <f>IF((IF(E30="ND",14-IF(D30="",0,VLOOKUP(D30,Datenblatt!$L$2:$M$30,2,FALSE)),IF(E30="ND12,5",2,0)))&lt;0,0,(IF(E30="ND",14-IF(D30="",0,VLOOKUP(D30,Datenblatt!$L$2:$M$30,2,FALSE)),IF(E30="ND12,5",2,0))))</f>
        <v>0</v>
      </c>
      <c r="AC30" s="214">
        <f t="shared" si="4"/>
        <v>0</v>
      </c>
      <c r="AD30" s="214">
        <f t="shared" si="5"/>
        <v>0</v>
      </c>
      <c r="AE30" s="214">
        <f t="shared" si="8"/>
        <v>0</v>
      </c>
      <c r="AF30" s="112">
        <f t="shared" si="9"/>
        <v>0</v>
      </c>
      <c r="AG30" s="112">
        <f t="shared" si="10"/>
        <v>0</v>
      </c>
      <c r="AH30" s="112">
        <f>IF(E30="",0,VLOOKUP(E30,Datenblatt!$E$2:$G$28,3,FALSE))</f>
        <v>0</v>
      </c>
    </row>
    <row r="31" spans="1:34" ht="13" customHeight="1">
      <c r="A31" s="89" t="str">
        <f>IF(ISERROR(VLOOKUP(C31,Datenblatt!$B$84:$B$97,1,FALSE)),"","Ft")</f>
        <v/>
      </c>
      <c r="B31" s="84">
        <f t="shared" si="0"/>
        <v>45491</v>
      </c>
      <c r="C31" s="86">
        <f t="shared" si="6"/>
        <v>45491</v>
      </c>
      <c r="D31" s="67"/>
      <c r="E31" s="67"/>
      <c r="F31" s="68"/>
      <c r="G31" s="69"/>
      <c r="H31" s="68"/>
      <c r="I31" s="68"/>
      <c r="J31" s="99"/>
      <c r="K31" s="21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20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10" t="str">
        <f>IF(D31="","",IF(E30="ND",VLOOKUP(D31,Datenblatt!$A$2:$C$31,3,FALSE)-1,IF(E30="ND12,5",VLOOKUP(D31,Datenblatt!$A$2:$C$31,3,FALSE)-0.5,VLOOKUP(D31,Datenblatt!$A$2:$C$31,3,FALSE))))</f>
        <v/>
      </c>
      <c r="N31" s="211" t="str">
        <f t="shared" si="2"/>
        <v/>
      </c>
      <c r="O31" s="211" t="str">
        <f t="shared" si="3"/>
        <v/>
      </c>
      <c r="P31" s="186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103" t="str">
        <f>IF(D31="","",VLOOKUP(D31,Datenblatt!$A$2:$D$31,4,FALSE))</f>
        <v/>
      </c>
      <c r="R31" s="104" t="str">
        <f>IF(E31="","",VLOOKUP(E31,Datenblatt!$E$2:$G$28,2,FALSE))</f>
        <v/>
      </c>
      <c r="S31" s="105"/>
      <c r="T31" s="111">
        <f t="shared" si="7"/>
        <v>0</v>
      </c>
      <c r="U31" s="114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12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12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54">
        <f t="array" ref="X31">IF(T31=0,0,IF((AND((ROW(T31)=MATCH(TRUE,($T$1:$T$44)&gt;0,0)))),IF(W31&gt;=6,W31-6,0),IF(W31&gt;=2,2,W31)))</f>
        <v>0</v>
      </c>
      <c r="Y31" s="254">
        <f t="array" ref="Y31">IF(T30=0,0,(IF((AND((ROW(T30)=MATCH(TRUE,($T$1:$T$44)&gt;0,0)))),IF(W30&gt;=6,6,W30),IF(W30&gt;=2,W30-2,0))))</f>
        <v>0</v>
      </c>
      <c r="Z31" s="111" t="str">
        <f t="shared" si="1"/>
        <v/>
      </c>
      <c r="AA31" s="214">
        <f>IF(E30="ND",IF(ISERROR(MATCH(D31,Datenblatt!$L$2:$L$18,0)),3,2),IF(E30="ND12,5",IF(ISERROR(MATCH(D31,Datenblatt!$L$2:$L$18,0)),2.5,2),0))</f>
        <v>0</v>
      </c>
      <c r="AB31" s="214">
        <f>IF((IF(E31="ND",14-IF(D31="",0,VLOOKUP(D31,Datenblatt!$L$2:$M$30,2,FALSE)),IF(E31="ND12,5",2,0)))&lt;0,0,(IF(E31="ND",14-IF(D31="",0,VLOOKUP(D31,Datenblatt!$L$2:$M$30,2,FALSE)),IF(E31="ND12,5",2,0))))</f>
        <v>0</v>
      </c>
      <c r="AC31" s="214">
        <f t="shared" si="4"/>
        <v>0</v>
      </c>
      <c r="AD31" s="214">
        <f t="shared" si="5"/>
        <v>0</v>
      </c>
      <c r="AE31" s="214">
        <f t="shared" si="8"/>
        <v>0</v>
      </c>
      <c r="AF31" s="112">
        <f t="shared" si="9"/>
        <v>0</v>
      </c>
      <c r="AG31" s="112">
        <f t="shared" si="10"/>
        <v>0</v>
      </c>
      <c r="AH31" s="112">
        <f>IF(E31="",0,VLOOKUP(E31,Datenblatt!$E$2:$G$28,3,FALSE))</f>
        <v>0</v>
      </c>
    </row>
    <row r="32" spans="1:34" ht="13" customHeight="1">
      <c r="A32" s="89" t="str">
        <f>IF(ISERROR(VLOOKUP(C32,Datenblatt!$B$84:$B$97,1,FALSE)),"","Ft")</f>
        <v/>
      </c>
      <c r="B32" s="84">
        <f t="shared" si="0"/>
        <v>45492</v>
      </c>
      <c r="C32" s="86">
        <f t="shared" si="6"/>
        <v>45492</v>
      </c>
      <c r="D32" s="67"/>
      <c r="E32" s="67"/>
      <c r="F32" s="68"/>
      <c r="G32" s="69"/>
      <c r="H32" s="68"/>
      <c r="I32" s="68"/>
      <c r="J32" s="99"/>
      <c r="K32" s="21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20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10" t="str">
        <f>IF(D32="","",IF(E31="ND",VLOOKUP(D32,Datenblatt!$A$2:$C$31,3,FALSE)-1,IF(E31="ND12,5",VLOOKUP(D32,Datenblatt!$A$2:$C$31,3,FALSE)-0.5,VLOOKUP(D32,Datenblatt!$A$2:$C$31,3,FALSE))))</f>
        <v/>
      </c>
      <c r="N32" s="211" t="str">
        <f t="shared" si="2"/>
        <v/>
      </c>
      <c r="O32" s="211" t="str">
        <f t="shared" si="3"/>
        <v/>
      </c>
      <c r="P32" s="186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103" t="str">
        <f>IF(D32="","",VLOOKUP(D32,Datenblatt!$A$2:$D$31,4,FALSE))</f>
        <v/>
      </c>
      <c r="R32" s="104" t="str">
        <f>IF(E32="","",VLOOKUP(E32,Datenblatt!$E$2:$G$28,2,FALSE))</f>
        <v/>
      </c>
      <c r="S32" s="105"/>
      <c r="T32" s="111">
        <f t="shared" si="7"/>
        <v>0</v>
      </c>
      <c r="U32" s="114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12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12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54">
        <f t="array" ref="X32">IF(T32=0,0,IF((AND((ROW(T32)=MATCH(TRUE,($T$1:$T$44)&gt;0,0)))),IF(W32&gt;=6,W32-6,0),IF(W32&gt;=2,2,W32)))</f>
        <v>0</v>
      </c>
      <c r="Y32" s="254">
        <f t="array" ref="Y32">IF(T31=0,0,(IF((AND((ROW(T31)=MATCH(TRUE,($T$1:$T$44)&gt;0,0)))),IF(W31&gt;=6,6,W31),IF(W31&gt;=2,W31-2,0))))</f>
        <v>0</v>
      </c>
      <c r="Z32" s="111" t="str">
        <f t="shared" si="1"/>
        <v/>
      </c>
      <c r="AA32" s="214">
        <f>IF(E31="ND",IF(ISERROR(MATCH(D32,Datenblatt!$L$2:$L$18,0)),3,2),IF(E31="ND12,5",IF(ISERROR(MATCH(D32,Datenblatt!$L$2:$L$18,0)),2.5,2),0))</f>
        <v>0</v>
      </c>
      <c r="AB32" s="214">
        <f>IF((IF(E32="ND",14-IF(D32="",0,VLOOKUP(D32,Datenblatt!$L$2:$M$30,2,FALSE)),IF(E32="ND12,5",2,0)))&lt;0,0,(IF(E32="ND",14-IF(D32="",0,VLOOKUP(D32,Datenblatt!$L$2:$M$30,2,FALSE)),IF(E32="ND12,5",2,0))))</f>
        <v>0</v>
      </c>
      <c r="AC32" s="214">
        <f t="shared" si="4"/>
        <v>0</v>
      </c>
      <c r="AD32" s="214">
        <f t="shared" si="5"/>
        <v>0</v>
      </c>
      <c r="AE32" s="214">
        <f t="shared" si="8"/>
        <v>0</v>
      </c>
      <c r="AF32" s="112">
        <f t="shared" si="9"/>
        <v>0</v>
      </c>
      <c r="AG32" s="112">
        <f t="shared" si="10"/>
        <v>0</v>
      </c>
      <c r="AH32" s="112">
        <f>IF(E32="",0,VLOOKUP(E32,Datenblatt!$E$2:$G$28,3,FALSE))</f>
        <v>0</v>
      </c>
    </row>
    <row r="33" spans="1:16383" ht="13" customHeight="1">
      <c r="A33" s="89" t="str">
        <f>IF(ISERROR(VLOOKUP(C33,Datenblatt!$B$84:$B$97,1,FALSE)),"","Ft")</f>
        <v/>
      </c>
      <c r="B33" s="84">
        <f t="shared" si="0"/>
        <v>45493</v>
      </c>
      <c r="C33" s="86">
        <f t="shared" si="6"/>
        <v>45493</v>
      </c>
      <c r="D33" s="67"/>
      <c r="E33" s="67"/>
      <c r="F33" s="68"/>
      <c r="G33" s="69"/>
      <c r="H33" s="68"/>
      <c r="I33" s="68"/>
      <c r="J33" s="99"/>
      <c r="K33" s="21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20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10" t="str">
        <f>IF(D33="","",IF(E32="ND",VLOOKUP(D33,Datenblatt!$A$2:$C$31,3,FALSE)-1,IF(E32="ND12,5",VLOOKUP(D33,Datenblatt!$A$2:$C$31,3,FALSE)-0.5,VLOOKUP(D33,Datenblatt!$A$2:$C$31,3,FALSE))))</f>
        <v/>
      </c>
      <c r="N33" s="211" t="str">
        <f t="shared" si="2"/>
        <v/>
      </c>
      <c r="O33" s="211" t="str">
        <f t="shared" si="3"/>
        <v/>
      </c>
      <c r="P33" s="186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103" t="str">
        <f>IF(D33="","",VLOOKUP(D33,Datenblatt!$A$2:$D$31,4,FALSE))</f>
        <v/>
      </c>
      <c r="R33" s="104" t="str">
        <f>IF(E33="","",VLOOKUP(E33,Datenblatt!$E$2:$G$28,2,FALSE))</f>
        <v/>
      </c>
      <c r="S33" s="105"/>
      <c r="T33" s="111">
        <f t="shared" si="7"/>
        <v>0</v>
      </c>
      <c r="U33" s="114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12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12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54">
        <f t="array" ref="X33">IF(T33=0,0,IF((AND((ROW(T33)=MATCH(TRUE,($T$1:$T$44)&gt;0,0)))),IF(W33&gt;=6,W33-6,0),IF(W33&gt;=2,2,W33)))</f>
        <v>0</v>
      </c>
      <c r="Y33" s="254">
        <f t="array" ref="Y33">IF(T32=0,0,(IF((AND((ROW(T32)=MATCH(TRUE,($T$1:$T$44)&gt;0,0)))),IF(W32&gt;=6,6,W32),IF(W32&gt;=2,W32-2,0))))</f>
        <v>0</v>
      </c>
      <c r="Z33" s="111" t="str">
        <f t="shared" si="1"/>
        <v/>
      </c>
      <c r="AA33" s="214">
        <f>IF(E32="ND",IF(ISERROR(MATCH(D33,Datenblatt!$L$2:$L$18,0)),3,2),IF(E32="ND12,5",IF(ISERROR(MATCH(D33,Datenblatt!$L$2:$L$18,0)),2.5,2),0))</f>
        <v>0</v>
      </c>
      <c r="AB33" s="214">
        <f>IF((IF(E33="ND",14-IF(D33="",0,VLOOKUP(D33,Datenblatt!$L$2:$M$30,2,FALSE)),IF(E33="ND12,5",2,0)))&lt;0,0,(IF(E33="ND",14-IF(D33="",0,VLOOKUP(D33,Datenblatt!$L$2:$M$30,2,FALSE)),IF(E33="ND12,5",2,0))))</f>
        <v>0</v>
      </c>
      <c r="AC33" s="214">
        <f t="shared" si="4"/>
        <v>0</v>
      </c>
      <c r="AD33" s="214">
        <f t="shared" si="5"/>
        <v>0</v>
      </c>
      <c r="AE33" s="214">
        <f t="shared" si="8"/>
        <v>0</v>
      </c>
      <c r="AF33" s="112">
        <f t="shared" si="9"/>
        <v>0</v>
      </c>
      <c r="AG33" s="112">
        <f t="shared" si="10"/>
        <v>0</v>
      </c>
      <c r="AH33" s="112">
        <f>IF(E33="",0,VLOOKUP(E33,Datenblatt!$E$2:$G$28,3,FALSE))</f>
        <v>0</v>
      </c>
    </row>
    <row r="34" spans="1:16383" ht="13" customHeight="1">
      <c r="A34" s="89" t="str">
        <f>IF(ISERROR(VLOOKUP(C34,Datenblatt!$B$84:$B$97,1,FALSE)),"","Ft")</f>
        <v/>
      </c>
      <c r="B34" s="84">
        <f t="shared" si="0"/>
        <v>45494</v>
      </c>
      <c r="C34" s="86">
        <f t="shared" si="6"/>
        <v>45494</v>
      </c>
      <c r="D34" s="67"/>
      <c r="E34" s="67"/>
      <c r="F34" s="68"/>
      <c r="G34" s="69"/>
      <c r="H34" s="68"/>
      <c r="I34" s="68"/>
      <c r="J34" s="99"/>
      <c r="K34" s="21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20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10" t="str">
        <f>IF(D34="","",IF(E33="ND",VLOOKUP(D34,Datenblatt!$A$2:$C$31,3,FALSE)-1,IF(E33="ND12,5",VLOOKUP(D34,Datenblatt!$A$2:$C$31,3,FALSE)-0.5,VLOOKUP(D34,Datenblatt!$A$2:$C$31,3,FALSE))))</f>
        <v/>
      </c>
      <c r="N34" s="211" t="str">
        <f t="shared" si="2"/>
        <v/>
      </c>
      <c r="O34" s="211">
        <f t="shared" si="3"/>
        <v>0</v>
      </c>
      <c r="P34" s="186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103" t="str">
        <f>IF(D34="","",VLOOKUP(D34,Datenblatt!$A$2:$D$31,4,FALSE))</f>
        <v/>
      </c>
      <c r="R34" s="104" t="str">
        <f>IF(E34="","",VLOOKUP(E34,Datenblatt!$E$2:$G$28,2,FALSE))</f>
        <v/>
      </c>
      <c r="S34" s="105"/>
      <c r="T34" s="111">
        <f t="shared" si="7"/>
        <v>0</v>
      </c>
      <c r="U34" s="114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12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12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54">
        <f t="array" ref="X34">IF(T34=0,0,IF((AND((ROW(T34)=MATCH(TRUE,($T$1:$T$44)&gt;0,0)))),IF(W34&gt;=6,W34-6,0),IF(W34&gt;=2,2,W34)))</f>
        <v>0</v>
      </c>
      <c r="Y34" s="254">
        <f t="array" ref="Y34">IF(T33=0,0,(IF((AND((ROW(T33)=MATCH(TRUE,($T$1:$T$44)&gt;0,0)))),IF(W33&gt;=6,6,W33),IF(W33&gt;=2,W33-2,0))))</f>
        <v>0</v>
      </c>
      <c r="Z34" s="111" t="str">
        <f t="shared" si="1"/>
        <v/>
      </c>
      <c r="AA34" s="214">
        <f>IF(E33="ND",IF(ISERROR(MATCH(D34,Datenblatt!$L$2:$L$18,0)),3,2),IF(E33="ND12,5",IF(ISERROR(MATCH(D34,Datenblatt!$L$2:$L$18,0)),2.5,2),0))</f>
        <v>0</v>
      </c>
      <c r="AB34" s="214">
        <f>IF((IF(E34="ND",14-IF(D34="",0,VLOOKUP(D34,Datenblatt!$L$2:$M$30,2,FALSE)),IF(E34="ND12,5",2,0)))&lt;0,0,(IF(E34="ND",14-IF(D34="",0,VLOOKUP(D34,Datenblatt!$L$2:$M$30,2,FALSE)),IF(E34="ND12,5",2,0))))</f>
        <v>0</v>
      </c>
      <c r="AC34" s="214">
        <f t="shared" si="4"/>
        <v>0</v>
      </c>
      <c r="AD34" s="214">
        <f t="shared" si="5"/>
        <v>0</v>
      </c>
      <c r="AE34" s="214">
        <f t="shared" si="8"/>
        <v>0</v>
      </c>
      <c r="AF34" s="112">
        <f t="shared" si="9"/>
        <v>0</v>
      </c>
      <c r="AG34" s="112">
        <f t="shared" si="10"/>
        <v>0</v>
      </c>
      <c r="AH34" s="112">
        <f>IF(E34="",0,VLOOKUP(E34,Datenblatt!$E$2:$G$28,3,FALSE))</f>
        <v>0</v>
      </c>
    </row>
    <row r="35" spans="1:16383" ht="13" customHeight="1">
      <c r="A35" s="89" t="str">
        <f>IF(ISERROR(VLOOKUP(C35,Datenblatt!$B$84:$B$97,1,FALSE)),"","Ft")</f>
        <v/>
      </c>
      <c r="B35" s="84">
        <f t="shared" si="0"/>
        <v>45495</v>
      </c>
      <c r="C35" s="86">
        <f t="shared" si="6"/>
        <v>45495</v>
      </c>
      <c r="D35" s="67"/>
      <c r="E35" s="67"/>
      <c r="F35" s="68"/>
      <c r="G35" s="69"/>
      <c r="H35" s="68"/>
      <c r="I35" s="68"/>
      <c r="J35" s="99"/>
      <c r="K35" s="21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20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10" t="str">
        <f>IF(D35="","",IF(E34="ND",VLOOKUP(D35,Datenblatt!$A$2:$C$31,3,FALSE)-1,IF(E34="ND12,5",VLOOKUP(D35,Datenblatt!$A$2:$C$31,3,FALSE)-0.5,VLOOKUP(D35,Datenblatt!$A$2:$C$31,3,FALSE))))</f>
        <v/>
      </c>
      <c r="N35" s="211" t="str">
        <f t="shared" si="2"/>
        <v/>
      </c>
      <c r="O35" s="211" t="str">
        <f t="shared" si="3"/>
        <v/>
      </c>
      <c r="P35" s="186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103" t="str">
        <f>IF(D35="","",VLOOKUP(D35,Datenblatt!$A$2:$D$31,4,FALSE))</f>
        <v/>
      </c>
      <c r="R35" s="104" t="str">
        <f>IF(E35="","",VLOOKUP(E35,Datenblatt!$E$2:$G$28,2,FALSE))</f>
        <v/>
      </c>
      <c r="S35" s="105"/>
      <c r="T35" s="111">
        <f t="shared" si="7"/>
        <v>0</v>
      </c>
      <c r="U35" s="114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12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12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54">
        <f t="array" ref="X35">IF(T35=0,0,IF((AND((ROW(T35)=MATCH(TRUE,($T$1:$T$44)&gt;0,0)))),IF(W35&gt;=6,W35-6,0),IF(W35&gt;=2,2,W35)))</f>
        <v>0</v>
      </c>
      <c r="Y35" s="254">
        <f t="array" ref="Y35">IF(T34=0,0,(IF((AND((ROW(T34)=MATCH(TRUE,($T$1:$T$44)&gt;0,0)))),IF(W34&gt;=6,6,W34),IF(W34&gt;=2,W34-2,0))))</f>
        <v>0</v>
      </c>
      <c r="Z35" s="111" t="str">
        <f t="shared" si="1"/>
        <v/>
      </c>
      <c r="AA35" s="214">
        <f>IF(E34="ND",IF(ISERROR(MATCH(D35,Datenblatt!$L$2:$L$18,0)),3,2),IF(E34="ND12,5",IF(ISERROR(MATCH(D35,Datenblatt!$L$2:$L$18,0)),2.5,2),0))</f>
        <v>0</v>
      </c>
      <c r="AB35" s="214">
        <f>IF((IF(E35="ND",14-IF(D35="",0,VLOOKUP(D35,Datenblatt!$L$2:$M$30,2,FALSE)),IF(E35="ND12,5",2,0)))&lt;0,0,(IF(E35="ND",14-IF(D35="",0,VLOOKUP(D35,Datenblatt!$L$2:$M$30,2,FALSE)),IF(E35="ND12,5",2,0))))</f>
        <v>0</v>
      </c>
      <c r="AC35" s="214">
        <f t="shared" si="4"/>
        <v>0</v>
      </c>
      <c r="AD35" s="214">
        <f t="shared" si="5"/>
        <v>0</v>
      </c>
      <c r="AE35" s="214">
        <f t="shared" si="8"/>
        <v>0</v>
      </c>
      <c r="AF35" s="112">
        <f t="shared" si="9"/>
        <v>0</v>
      </c>
      <c r="AG35" s="112">
        <f t="shared" si="10"/>
        <v>0</v>
      </c>
      <c r="AH35" s="112">
        <f>IF(E35="",0,VLOOKUP(E35,Datenblatt!$E$2:$G$28,3,FALSE))</f>
        <v>0</v>
      </c>
    </row>
    <row r="36" spans="1:16383" ht="13" customHeight="1">
      <c r="A36" s="89" t="str">
        <f>IF(ISERROR(VLOOKUP(C36,Datenblatt!$B$84:$B$97,1,FALSE)),"","Ft")</f>
        <v/>
      </c>
      <c r="B36" s="84">
        <f t="shared" si="0"/>
        <v>45496</v>
      </c>
      <c r="C36" s="86">
        <f t="shared" si="6"/>
        <v>45496</v>
      </c>
      <c r="D36" s="67"/>
      <c r="E36" s="67"/>
      <c r="F36" s="68"/>
      <c r="G36" s="69"/>
      <c r="H36" s="68"/>
      <c r="I36" s="68"/>
      <c r="J36" s="99"/>
      <c r="K36" s="21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20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10" t="str">
        <f>IF(D36="","",IF(E35="ND",VLOOKUP(D36,Datenblatt!$A$2:$C$31,3,FALSE)-1,IF(E35="ND12,5",VLOOKUP(D36,Datenblatt!$A$2:$C$31,3,FALSE)-0.5,VLOOKUP(D36,Datenblatt!$A$2:$C$31,3,FALSE))))</f>
        <v/>
      </c>
      <c r="N36" s="211" t="str">
        <f t="shared" si="2"/>
        <v/>
      </c>
      <c r="O36" s="211" t="str">
        <f t="shared" si="3"/>
        <v/>
      </c>
      <c r="P36" s="186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103" t="str">
        <f>IF(D36="","",VLOOKUP(D36,Datenblatt!$A$2:$D$31,4,FALSE))</f>
        <v/>
      </c>
      <c r="R36" s="104" t="str">
        <f>IF(E36="","",VLOOKUP(E36,Datenblatt!$E$2:$G$28,2,FALSE))</f>
        <v/>
      </c>
      <c r="S36" s="105"/>
      <c r="T36" s="111">
        <f t="shared" si="7"/>
        <v>0</v>
      </c>
      <c r="U36" s="114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12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12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54">
        <f t="array" ref="X36">IF(T36=0,0,IF((AND((ROW(T36)=MATCH(TRUE,($T$1:$T$44)&gt;0,0)))),IF(W36&gt;=6,W36-6,0),IF(W36&gt;=2,2,W36)))</f>
        <v>0</v>
      </c>
      <c r="Y36" s="254">
        <f t="array" ref="Y36">IF(T35=0,0,(IF((AND((ROW(T35)=MATCH(TRUE,($T$1:$T$44)&gt;0,0)))),IF(W35&gt;=6,6,W35),IF(W35&gt;=2,W35-2,0))))</f>
        <v>0</v>
      </c>
      <c r="Z36" s="111" t="str">
        <f t="shared" si="1"/>
        <v/>
      </c>
      <c r="AA36" s="214">
        <f>IF(E35="ND",IF(ISERROR(MATCH(D36,Datenblatt!$L$2:$L$18,0)),3,2),IF(E35="ND12,5",IF(ISERROR(MATCH(D36,Datenblatt!$L$2:$L$18,0)),2.5,2),0))</f>
        <v>0</v>
      </c>
      <c r="AB36" s="214">
        <f>IF((IF(E36="ND",14-IF(D36="",0,VLOOKUP(D36,Datenblatt!$L$2:$M$30,2,FALSE)),IF(E36="ND12,5",2,0)))&lt;0,0,(IF(E36="ND",14-IF(D36="",0,VLOOKUP(D36,Datenblatt!$L$2:$M$30,2,FALSE)),IF(E36="ND12,5",2,0))))</f>
        <v>0</v>
      </c>
      <c r="AC36" s="214">
        <f t="shared" si="4"/>
        <v>0</v>
      </c>
      <c r="AD36" s="214">
        <f t="shared" si="5"/>
        <v>0</v>
      </c>
      <c r="AE36" s="214">
        <f t="shared" si="8"/>
        <v>0</v>
      </c>
      <c r="AF36" s="112">
        <f t="shared" si="9"/>
        <v>0</v>
      </c>
      <c r="AG36" s="112">
        <f t="shared" si="10"/>
        <v>0</v>
      </c>
      <c r="AH36" s="112">
        <f>IF(E36="",0,VLOOKUP(E36,Datenblatt!$E$2:$G$28,3,FALSE))</f>
        <v>0</v>
      </c>
    </row>
    <row r="37" spans="1:16383" ht="13" customHeight="1">
      <c r="A37" s="89" t="str">
        <f>IF(ISERROR(VLOOKUP(C37,Datenblatt!$B$84:$B$97,1,FALSE)),"","Ft")</f>
        <v/>
      </c>
      <c r="B37" s="84">
        <f t="shared" si="0"/>
        <v>45497</v>
      </c>
      <c r="C37" s="86">
        <f t="shared" si="6"/>
        <v>45497</v>
      </c>
      <c r="D37" s="67"/>
      <c r="E37" s="67"/>
      <c r="F37" s="68"/>
      <c r="G37" s="69"/>
      <c r="H37" s="68"/>
      <c r="I37" s="68"/>
      <c r="J37" s="99"/>
      <c r="K37" s="21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20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10" t="str">
        <f>IF(D37="","",IF(E36="ND",VLOOKUP(D37,Datenblatt!$A$2:$C$31,3,FALSE)-1,IF(E36="ND12,5",VLOOKUP(D37,Datenblatt!$A$2:$C$31,3,FALSE)-0.5,VLOOKUP(D37,Datenblatt!$A$2:$C$31,3,FALSE))))</f>
        <v/>
      </c>
      <c r="N37" s="211" t="str">
        <f t="shared" si="2"/>
        <v/>
      </c>
      <c r="O37" s="211" t="str">
        <f t="shared" si="3"/>
        <v/>
      </c>
      <c r="P37" s="186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103" t="str">
        <f>IF(D37="","",VLOOKUP(D37,Datenblatt!$A$2:$D$31,4,FALSE))</f>
        <v/>
      </c>
      <c r="R37" s="104" t="str">
        <f>IF(E37="","",VLOOKUP(E37,Datenblatt!$E$2:$G$28,2,FALSE))</f>
        <v/>
      </c>
      <c r="S37" s="105"/>
      <c r="T37" s="111">
        <f t="shared" si="7"/>
        <v>0</v>
      </c>
      <c r="U37" s="114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12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12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54">
        <f t="array" ref="X37">IF(T37=0,0,IF((AND((ROW(T37)=MATCH(TRUE,($T$1:$T$44)&gt;0,0)))),IF(W37&gt;=6,W37-6,0),IF(W37&gt;=2,2,W37)))</f>
        <v>0</v>
      </c>
      <c r="Y37" s="254">
        <f t="array" ref="Y37">IF(T36=0,0,(IF((AND((ROW(T36)=MATCH(TRUE,($T$1:$T$44)&gt;0,0)))),IF(W36&gt;=6,6,W36),IF(W36&gt;=2,W36-2,0))))</f>
        <v>0</v>
      </c>
      <c r="Z37" s="111" t="str">
        <f t="shared" si="1"/>
        <v/>
      </c>
      <c r="AA37" s="214">
        <f>IF(E36="ND",IF(ISERROR(MATCH(D37,Datenblatt!$L$2:$L$18,0)),3,2),IF(E36="ND12,5",IF(ISERROR(MATCH(D37,Datenblatt!$L$2:$L$18,0)),2.5,2),0))</f>
        <v>0</v>
      </c>
      <c r="AB37" s="214">
        <f>IF((IF(E37="ND",14-IF(D37="",0,VLOOKUP(D37,Datenblatt!$L$2:$M$30,2,FALSE)),IF(E37="ND12,5",2,0)))&lt;0,0,(IF(E37="ND",14-IF(D37="",0,VLOOKUP(D37,Datenblatt!$L$2:$M$30,2,FALSE)),IF(E37="ND12,5",2,0))))</f>
        <v>0</v>
      </c>
      <c r="AC37" s="214">
        <f t="shared" si="4"/>
        <v>0</v>
      </c>
      <c r="AD37" s="214">
        <f t="shared" si="5"/>
        <v>0</v>
      </c>
      <c r="AE37" s="214">
        <f t="shared" si="8"/>
        <v>0</v>
      </c>
      <c r="AF37" s="112">
        <f t="shared" si="9"/>
        <v>0</v>
      </c>
      <c r="AG37" s="112">
        <f t="shared" si="10"/>
        <v>0</v>
      </c>
      <c r="AH37" s="112">
        <f>IF(E37="",0,VLOOKUP(E37,Datenblatt!$E$2:$G$28,3,FALSE))</f>
        <v>0</v>
      </c>
    </row>
    <row r="38" spans="1:16383" ht="13" customHeight="1">
      <c r="A38" s="89" t="str">
        <f>IF(ISERROR(VLOOKUP(C38,Datenblatt!$B$84:$B$97,1,FALSE)),"","Ft")</f>
        <v/>
      </c>
      <c r="B38" s="84">
        <f t="shared" si="0"/>
        <v>45498</v>
      </c>
      <c r="C38" s="86">
        <f t="shared" si="6"/>
        <v>45498</v>
      </c>
      <c r="D38" s="67"/>
      <c r="E38" s="67"/>
      <c r="F38" s="68"/>
      <c r="G38" s="69"/>
      <c r="H38" s="68"/>
      <c r="I38" s="68"/>
      <c r="J38" s="99"/>
      <c r="K38" s="21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20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10" t="str">
        <f>IF(D38="","",IF(E37="ND",VLOOKUP(D38,Datenblatt!$A$2:$C$31,3,FALSE)-1,IF(E37="ND12,5",VLOOKUP(D38,Datenblatt!$A$2:$C$31,3,FALSE)-0.5,VLOOKUP(D38,Datenblatt!$A$2:$C$31,3,FALSE))))</f>
        <v/>
      </c>
      <c r="N38" s="211" t="str">
        <f t="shared" si="2"/>
        <v/>
      </c>
      <c r="O38" s="211" t="str">
        <f t="shared" si="3"/>
        <v/>
      </c>
      <c r="P38" s="186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103" t="str">
        <f>IF(D38="","",VLOOKUP(D38,Datenblatt!$A$2:$D$31,4,FALSE))</f>
        <v/>
      </c>
      <c r="R38" s="104" t="str">
        <f>IF(E38="","",VLOOKUP(E38,Datenblatt!$E$2:$G$28,2,FALSE))</f>
        <v/>
      </c>
      <c r="S38" s="105"/>
      <c r="T38" s="111">
        <f t="shared" si="7"/>
        <v>0</v>
      </c>
      <c r="U38" s="114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12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12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54">
        <f t="array" ref="X38">IF(T38=0,0,IF((AND((ROW(T38)=MATCH(TRUE,($T$1:$T$44)&gt;0,0)))),IF(W38&gt;=6,W38-6,0),IF(W38&gt;=2,2,W38)))</f>
        <v>0</v>
      </c>
      <c r="Y38" s="254">
        <f t="array" ref="Y38">IF(T37=0,0,(IF((AND((ROW(T37)=MATCH(TRUE,($T$1:$T$44)&gt;0,0)))),IF(W37&gt;=6,6,W37),IF(W37&gt;=2,W37-2,0))))</f>
        <v>0</v>
      </c>
      <c r="Z38" s="111" t="str">
        <f t="shared" si="1"/>
        <v/>
      </c>
      <c r="AA38" s="214">
        <f>IF(E37="ND",IF(ISERROR(MATCH(D38,Datenblatt!$L$2:$L$18,0)),3,2),IF(E37="ND12,5",IF(ISERROR(MATCH(D38,Datenblatt!$L$2:$L$18,0)),2.5,2),0))</f>
        <v>0</v>
      </c>
      <c r="AB38" s="214">
        <f>IF((IF(E38="ND",14-IF(D38="",0,VLOOKUP(D38,Datenblatt!$L$2:$M$30,2,FALSE)),IF(E38="ND12,5",2,0)))&lt;0,0,(IF(E38="ND",14-IF(D38="",0,VLOOKUP(D38,Datenblatt!$L$2:$M$30,2,FALSE)),IF(E38="ND12,5",2,0))))</f>
        <v>0</v>
      </c>
      <c r="AC38" s="214">
        <f t="shared" si="4"/>
        <v>0</v>
      </c>
      <c r="AD38" s="214">
        <f t="shared" si="5"/>
        <v>0</v>
      </c>
      <c r="AE38" s="214">
        <f t="shared" si="8"/>
        <v>0</v>
      </c>
      <c r="AF38" s="112">
        <f t="shared" si="9"/>
        <v>0</v>
      </c>
      <c r="AG38" s="112">
        <f t="shared" si="10"/>
        <v>0</v>
      </c>
      <c r="AH38" s="112">
        <f>IF(E38="",0,VLOOKUP(E38,Datenblatt!$E$2:$G$28,3,FALSE))</f>
        <v>0</v>
      </c>
    </row>
    <row r="39" spans="1:16383" ht="13" customHeight="1">
      <c r="A39" s="89" t="str">
        <f>IF(ISERROR(VLOOKUP(C39,Datenblatt!$B$84:$B$97,1,FALSE)),"","Ft")</f>
        <v/>
      </c>
      <c r="B39" s="84">
        <f t="shared" si="0"/>
        <v>45499</v>
      </c>
      <c r="C39" s="86">
        <f t="shared" si="6"/>
        <v>45499</v>
      </c>
      <c r="D39" s="67"/>
      <c r="E39" s="67"/>
      <c r="F39" s="68"/>
      <c r="G39" s="69"/>
      <c r="H39" s="68"/>
      <c r="I39" s="68"/>
      <c r="J39" s="99"/>
      <c r="K39" s="21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20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10" t="str">
        <f>IF(D39="","",IF(E38="ND",VLOOKUP(D39,Datenblatt!$A$2:$C$31,3,FALSE)-1,IF(E38="ND12,5",VLOOKUP(D39,Datenblatt!$A$2:$C$31,3,FALSE)-0.5,VLOOKUP(D39,Datenblatt!$A$2:$C$31,3,FALSE))))</f>
        <v/>
      </c>
      <c r="N39" s="211" t="str">
        <f t="shared" si="2"/>
        <v/>
      </c>
      <c r="O39" s="211" t="str">
        <f t="shared" si="3"/>
        <v/>
      </c>
      <c r="P39" s="186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103" t="str">
        <f>IF(D39="","",VLOOKUP(D39,Datenblatt!$A$2:$D$31,4,FALSE))</f>
        <v/>
      </c>
      <c r="R39" s="104" t="str">
        <f>IF(E39="","",VLOOKUP(E39,Datenblatt!$E$2:$G$28,2,FALSE))</f>
        <v/>
      </c>
      <c r="S39" s="105"/>
      <c r="T39" s="111">
        <f t="shared" si="7"/>
        <v>0</v>
      </c>
      <c r="U39" s="114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12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12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54">
        <f t="array" ref="X39">IF(T39=0,0,IF((AND((ROW(T39)=MATCH(TRUE,($T$1:$T$44)&gt;0,0)))),IF(W39&gt;=6,W39-6,0),IF(W39&gt;=2,2,W39)))</f>
        <v>0</v>
      </c>
      <c r="Y39" s="254">
        <f t="array" ref="Y39">IF(T38=0,0,(IF((AND((ROW(T38)=MATCH(TRUE,($T$1:$T$44)&gt;0,0)))),IF(W38&gt;=6,6,W38),IF(W38&gt;=2,W38-2,0))))</f>
        <v>0</v>
      </c>
      <c r="Z39" s="111" t="str">
        <f t="shared" si="1"/>
        <v/>
      </c>
      <c r="AA39" s="214">
        <f>IF(E38="ND",IF(ISERROR(MATCH(D39,Datenblatt!$L$2:$L$18,0)),3,2),IF(E38="ND12,5",IF(ISERROR(MATCH(D39,Datenblatt!$L$2:$L$18,0)),2.5,2),0))</f>
        <v>0</v>
      </c>
      <c r="AB39" s="214">
        <f>IF((IF(E39="ND",14-IF(D39="",0,VLOOKUP(D39,Datenblatt!$L$2:$M$30,2,FALSE)),IF(E39="ND12,5",2,0)))&lt;0,0,(IF(E39="ND",14-IF(D39="",0,VLOOKUP(D39,Datenblatt!$L$2:$M$30,2,FALSE)),IF(E39="ND12,5",2,0))))</f>
        <v>0</v>
      </c>
      <c r="AC39" s="214">
        <f t="shared" si="4"/>
        <v>0</v>
      </c>
      <c r="AD39" s="214">
        <f t="shared" si="5"/>
        <v>0</v>
      </c>
      <c r="AE39" s="214">
        <f t="shared" si="8"/>
        <v>0</v>
      </c>
      <c r="AF39" s="112">
        <f t="shared" si="9"/>
        <v>0</v>
      </c>
      <c r="AG39" s="112">
        <f t="shared" si="10"/>
        <v>0</v>
      </c>
      <c r="AH39" s="112">
        <f>IF(E39="",0,VLOOKUP(E39,Datenblatt!$E$2:$G$28,3,FALSE))</f>
        <v>0</v>
      </c>
    </row>
    <row r="40" spans="1:16383" ht="13" customHeight="1">
      <c r="A40" s="89" t="str">
        <f>IF(ISERROR(VLOOKUP(C40,Datenblatt!$B$84:$B$97,1,FALSE)),"","Ft")</f>
        <v/>
      </c>
      <c r="B40" s="84">
        <f t="shared" si="0"/>
        <v>45500</v>
      </c>
      <c r="C40" s="86">
        <f t="shared" si="6"/>
        <v>45500</v>
      </c>
      <c r="D40" s="67"/>
      <c r="E40" s="67"/>
      <c r="F40" s="68"/>
      <c r="G40" s="69"/>
      <c r="H40" s="68"/>
      <c r="I40" s="68"/>
      <c r="J40" s="99"/>
      <c r="K40" s="21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20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10" t="str">
        <f>IF(D40="","",IF(E39="ND",VLOOKUP(D40,Datenblatt!$A$2:$C$31,3,FALSE)-1,IF(E39="ND12,5",VLOOKUP(D40,Datenblatt!$A$2:$C$31,3,FALSE)-0.5,VLOOKUP(D40,Datenblatt!$A$2:$C$31,3,FALSE))))</f>
        <v/>
      </c>
      <c r="N40" s="211" t="str">
        <f t="shared" si="2"/>
        <v/>
      </c>
      <c r="O40" s="211" t="str">
        <f t="shared" si="3"/>
        <v/>
      </c>
      <c r="P40" s="186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103" t="str">
        <f>IF(D40="","",VLOOKUP(D40,Datenblatt!$A$2:$D$31,4,FALSE))</f>
        <v/>
      </c>
      <c r="R40" s="104" t="str">
        <f>IF(E40="","",VLOOKUP(E40,Datenblatt!$E$2:$G$28,2,FALSE))</f>
        <v/>
      </c>
      <c r="S40" s="106"/>
      <c r="T40" s="111">
        <f t="shared" si="7"/>
        <v>0</v>
      </c>
      <c r="U40" s="114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12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12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54">
        <f t="array" ref="X40">IF(T40=0,0,IF((AND((ROW(T40)=MATCH(TRUE,($T$1:$T$44)&gt;0,0)))),IF(W40&gt;=6,W40-6,0),IF(W40&gt;=2,2,W40)))</f>
        <v>0</v>
      </c>
      <c r="Y40" s="254">
        <f t="array" ref="Y40">IF(T39=0,0,(IF((AND((ROW(T39)=MATCH(TRUE,($T$1:$T$44)&gt;0,0)))),IF(W39&gt;=6,6,W39),IF(W39&gt;=2,W39-2,0))))</f>
        <v>0</v>
      </c>
      <c r="Z40" s="111" t="str">
        <f t="shared" si="1"/>
        <v/>
      </c>
      <c r="AA40" s="214">
        <f>IF(E39="ND",IF(ISERROR(MATCH(D40,Datenblatt!$L$2:$L$18,0)),3,2),IF(E39="ND12,5",IF(ISERROR(MATCH(D40,Datenblatt!$L$2:$L$18,0)),2.5,2),0))</f>
        <v>0</v>
      </c>
      <c r="AB40" s="214">
        <f>IF((IF(E40="ND",14-IF(D40="",0,VLOOKUP(D40,Datenblatt!$L$2:$M$30,2,FALSE)),IF(E40="ND12,5",2,0)))&lt;0,0,(IF(E40="ND",14-IF(D40="",0,VLOOKUP(D40,Datenblatt!$L$2:$M$30,2,FALSE)),IF(E40="ND12,5",2,0))))</f>
        <v>0</v>
      </c>
      <c r="AC40" s="214">
        <f t="shared" si="4"/>
        <v>0</v>
      </c>
      <c r="AD40" s="214">
        <f t="shared" si="5"/>
        <v>0</v>
      </c>
      <c r="AE40" s="214">
        <f t="shared" si="8"/>
        <v>0</v>
      </c>
      <c r="AF40" s="112">
        <f t="shared" si="9"/>
        <v>0</v>
      </c>
      <c r="AG40" s="112">
        <f t="shared" si="10"/>
        <v>0</v>
      </c>
      <c r="AH40" s="112">
        <f>IF(E40="",0,VLOOKUP(E40,Datenblatt!$E$2:$G$28,3,FALSE))</f>
        <v>0</v>
      </c>
    </row>
    <row r="41" spans="1:16383" ht="13" customHeight="1">
      <c r="A41" s="89" t="str">
        <f>IF(ISERROR(VLOOKUP(C41,Datenblatt!$B$84:$B$97,1,FALSE)),"","Ft")</f>
        <v/>
      </c>
      <c r="B41" s="84">
        <f t="shared" si="0"/>
        <v>45501</v>
      </c>
      <c r="C41" s="86">
        <f t="shared" si="6"/>
        <v>45501</v>
      </c>
      <c r="D41" s="67"/>
      <c r="E41" s="67"/>
      <c r="F41" s="68"/>
      <c r="G41" s="69"/>
      <c r="H41" s="68"/>
      <c r="I41" s="68"/>
      <c r="J41" s="99"/>
      <c r="K41" s="21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20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10" t="str">
        <f>IF(D41="","",IF(E40="ND",VLOOKUP(D41,Datenblatt!$A$2:$C$31,3,FALSE)-1,IF(E40="ND12,5",VLOOKUP(D41,Datenblatt!$A$2:$C$31,3,FALSE)-0.5,VLOOKUP(D41,Datenblatt!$A$2:$C$31,3,FALSE))))</f>
        <v/>
      </c>
      <c r="N41" s="211" t="str">
        <f t="shared" si="2"/>
        <v/>
      </c>
      <c r="O41" s="211">
        <f t="shared" si="3"/>
        <v>0</v>
      </c>
      <c r="P41" s="186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103" t="str">
        <f>IF(D41="","",VLOOKUP(D41,Datenblatt!$A$2:$D$31,4,FALSE))</f>
        <v/>
      </c>
      <c r="R41" s="104" t="str">
        <f>IF(E41="","",VLOOKUP(E41,Datenblatt!$E$2:$G$28,2,FALSE))</f>
        <v/>
      </c>
      <c r="S41" s="106"/>
      <c r="T41" s="111">
        <f t="shared" si="7"/>
        <v>0</v>
      </c>
      <c r="U41" s="114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12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12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54">
        <f t="array" ref="X41">IF(T41=0,0,IF((AND((ROW(T41)=MATCH(TRUE,($T$1:$T$44)&gt;0,0)))),IF(W41&gt;=6,W41-6,0),IF(W41&gt;=2,2,W41)))</f>
        <v>0</v>
      </c>
      <c r="Y41" s="254">
        <f t="array" ref="Y41">IF(T40=0,0,(IF((AND((ROW(T40)=MATCH(TRUE,($T$1:$T$44)&gt;0,0)))),IF(W40&gt;=6,6,W40),IF(W40&gt;=2,W40-2,0))))</f>
        <v>0</v>
      </c>
      <c r="Z41" s="111" t="str">
        <f t="shared" si="1"/>
        <v/>
      </c>
      <c r="AA41" s="214">
        <f>IF(E40="ND",IF(ISERROR(MATCH(D41,Datenblatt!$L$2:$L$18,0)),3,2),IF(E40="ND12,5",IF(ISERROR(MATCH(D41,Datenblatt!$L$2:$L$18,0)),2.5,2),0))</f>
        <v>0</v>
      </c>
      <c r="AB41" s="214">
        <f>IF((IF(E41="ND",14-IF(D41="",0,VLOOKUP(D41,Datenblatt!$L$2:$M$30,2,FALSE)),IF(E41="ND12,5",2,0)))&lt;0,0,(IF(E41="ND",14-IF(D41="",0,VLOOKUP(D41,Datenblatt!$L$2:$M$30,2,FALSE)),IF(E41="ND12,5",2,0))))</f>
        <v>0</v>
      </c>
      <c r="AC41" s="214">
        <f t="shared" si="4"/>
        <v>0</v>
      </c>
      <c r="AD41" s="214">
        <f t="shared" si="5"/>
        <v>0</v>
      </c>
      <c r="AE41" s="214">
        <f t="shared" si="8"/>
        <v>0</v>
      </c>
      <c r="AF41" s="112">
        <f t="shared" si="9"/>
        <v>0</v>
      </c>
      <c r="AG41" s="112">
        <f t="shared" si="10"/>
        <v>0</v>
      </c>
      <c r="AH41" s="112">
        <f>IF(E41="",0,VLOOKUP(E41,Datenblatt!$E$2:$G$28,3,FALSE))</f>
        <v>0</v>
      </c>
    </row>
    <row r="42" spans="1:16383" ht="13" customHeight="1">
      <c r="A42" s="89" t="str">
        <f>IF(ISERROR(VLOOKUP(C42,Datenblatt!$B$84:$B$97,1,FALSE)),"","Ft")</f>
        <v/>
      </c>
      <c r="B42" s="84">
        <f t="shared" si="0"/>
        <v>45502</v>
      </c>
      <c r="C42" s="86">
        <f>C41+1</f>
        <v>45502</v>
      </c>
      <c r="D42" s="67"/>
      <c r="E42" s="67"/>
      <c r="F42" s="68"/>
      <c r="G42" s="69"/>
      <c r="H42" s="68"/>
      <c r="I42" s="68"/>
      <c r="J42" s="99"/>
      <c r="K42" s="21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20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10" t="str">
        <f>IF(D42="","",IF(E41="ND",VLOOKUP(D42,Datenblatt!$A$2:$C$31,3,FALSE)-1,IF(E41="ND12,5",VLOOKUP(D42,Datenblatt!$A$2:$C$31,3,FALSE)-0.5,VLOOKUP(D42,Datenblatt!$A$2:$C$31,3,FALSE))))</f>
        <v/>
      </c>
      <c r="N42" s="211" t="str">
        <f t="shared" si="2"/>
        <v/>
      </c>
      <c r="O42" s="211" t="str">
        <f t="shared" si="3"/>
        <v/>
      </c>
      <c r="P42" s="186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103" t="str">
        <f>IF(D42="","",VLOOKUP(D42,Datenblatt!$A$2:$D$31,4,FALSE))</f>
        <v/>
      </c>
      <c r="R42" s="104" t="str">
        <f>IF(E42="","",VLOOKUP(E42,Datenblatt!$E$2:$G$28,2,FALSE))</f>
        <v/>
      </c>
      <c r="S42" s="106"/>
      <c r="T42" s="111">
        <f t="shared" si="7"/>
        <v>0</v>
      </c>
      <c r="U42" s="114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12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12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54">
        <f t="array" ref="X42">IF(T42=0,0,IF((AND((ROW(T42)=MATCH(TRUE,($T$1:$T$44)&gt;0,0)))),IF(W42&gt;=6,W42-6,0),IF(W42&gt;=2,2,W42)))</f>
        <v>0</v>
      </c>
      <c r="Y42" s="254">
        <f t="array" ref="Y42">IF(T41=0,0,(IF((AND((ROW(T41)=MATCH(TRUE,($T$1:$T$44)&gt;0,0)))),IF(W41&gt;=6,6,W41),IF(W41&gt;=2,W41-2,0))))</f>
        <v>0</v>
      </c>
      <c r="Z42" s="111" t="str">
        <f t="shared" si="1"/>
        <v/>
      </c>
      <c r="AA42" s="214">
        <f>IF(E41="ND",IF(ISERROR(MATCH(D42,Datenblatt!$L$2:$L$18,0)),3,2),IF(E41="ND12,5",IF(ISERROR(MATCH(D42,Datenblatt!$L$2:$L$18,0)),2.5,2),0))</f>
        <v>0</v>
      </c>
      <c r="AB42" s="214">
        <f>IF((IF(E42="ND",14-IF(D42="",0,VLOOKUP(D42,Datenblatt!$L$2:$M$30,2,FALSE)),IF(E42="ND12,5",2,0)))&lt;0,0,(IF(E42="ND",14-IF(D42="",0,VLOOKUP(D42,Datenblatt!$L$2:$M$30,2,FALSE)),IF(E42="ND12,5",2,0))))</f>
        <v>0</v>
      </c>
      <c r="AC42" s="214">
        <f t="shared" si="4"/>
        <v>0</v>
      </c>
      <c r="AD42" s="214">
        <f t="shared" si="5"/>
        <v>0</v>
      </c>
      <c r="AE42" s="214">
        <f t="shared" si="8"/>
        <v>0</v>
      </c>
      <c r="AF42" s="112">
        <f t="shared" si="9"/>
        <v>0</v>
      </c>
      <c r="AG42" s="112">
        <f t="shared" si="10"/>
        <v>0</v>
      </c>
      <c r="AH42" s="112">
        <f>IF(E42="",0,VLOOKUP(E42,Datenblatt!$E$2:$G$28,3,FALSE))</f>
        <v>0</v>
      </c>
    </row>
    <row r="43" spans="1:16383" ht="13" customHeight="1">
      <c r="A43" s="89" t="str">
        <f>IF(ISERROR(VLOOKUP(C43,Datenblatt!$B$84:$B$97,1,FALSE)),"","Ft")</f>
        <v/>
      </c>
      <c r="B43" s="84">
        <f t="shared" si="0"/>
        <v>45503</v>
      </c>
      <c r="C43" s="87">
        <f>C42+1</f>
        <v>45503</v>
      </c>
      <c r="D43" s="67"/>
      <c r="E43" s="67"/>
      <c r="F43" s="68"/>
      <c r="G43" s="69"/>
      <c r="H43" s="68"/>
      <c r="I43" s="68"/>
      <c r="J43" s="99"/>
      <c r="K43" s="21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209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210" t="str">
        <f>IF(D43="","",IF(E42="ND",VLOOKUP(D43,Datenblatt!$A$2:$C$31,3,FALSE)-1,IF(E42="ND12,5",VLOOKUP(D43,Datenblatt!$A$2:$C$31,3,FALSE)-0.5,VLOOKUP(D43,Datenblatt!$A$2:$C$31,3,FALSE))))</f>
        <v/>
      </c>
      <c r="N43" s="211" t="str">
        <f t="shared" si="2"/>
        <v/>
      </c>
      <c r="O43" s="211" t="str">
        <f t="shared" si="3"/>
        <v/>
      </c>
      <c r="P43" s="186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103" t="str">
        <f>IF(D43="","",VLOOKUP(D43,Datenblatt!$A$2:$D$31,4,FALSE))</f>
        <v/>
      </c>
      <c r="R43" s="104" t="str">
        <f>IF(E43="","",VLOOKUP(E43,Datenblatt!$E$2:$G$28,2,FALSE))</f>
        <v/>
      </c>
      <c r="S43" s="107"/>
      <c r="T43" s="111">
        <f t="shared" si="7"/>
        <v>0</v>
      </c>
      <c r="U43" s="114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12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12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54">
        <f t="array" ref="X43">IF(T43=0,0,IF((AND((ROW(T43)=MATCH(TRUE,($T$1:$T$44)&gt;0,0)))),IF(W43&gt;=6,W43-6,0),IF(W43&gt;=2,2,W43)))</f>
        <v>0</v>
      </c>
      <c r="Y43" s="254">
        <f t="array" ref="Y43">IF(T42=0,0,(IF((AND((ROW(T42)=MATCH(TRUE,($T$1:$T$44)&gt;0,0)))),IF(W42&gt;=6,6,W42),IF(W42&gt;=2,W42-2,0))))</f>
        <v>0</v>
      </c>
      <c r="Z43" s="111" t="str">
        <f t="shared" si="1"/>
        <v/>
      </c>
      <c r="AA43" s="214">
        <f>IF(E42="ND",IF(ISERROR(MATCH(D43,Datenblatt!$L$2:$L$18,0)),3,2),IF(E42="ND12,5",IF(ISERROR(MATCH(D43,Datenblatt!$L$2:$L$18,0)),2.5,2),0))</f>
        <v>0</v>
      </c>
      <c r="AB43" s="214">
        <f>IF((IF(E43="ND",14-IF(D43="",0,VLOOKUP(D43,Datenblatt!$L$2:$M$30,2,FALSE)),IF(E43="ND12,5",2,0)))&lt;0,0,(IF(E43="ND",14-IF(D43="",0,VLOOKUP(D43,Datenblatt!$L$2:$M$30,2,FALSE)),IF(E43="ND12,5",2,0))))</f>
        <v>0</v>
      </c>
      <c r="AC43" s="214">
        <f t="shared" si="4"/>
        <v>0</v>
      </c>
      <c r="AD43" s="214">
        <f t="shared" si="5"/>
        <v>0</v>
      </c>
      <c r="AE43" s="214">
        <f t="shared" si="8"/>
        <v>0</v>
      </c>
      <c r="AF43" s="112">
        <f t="shared" si="9"/>
        <v>0</v>
      </c>
      <c r="AG43" s="112">
        <f t="shared" si="10"/>
        <v>0</v>
      </c>
      <c r="AH43" s="112">
        <f>IF(E43="",0,VLOOKUP(E43,Datenblatt!$E$2:$G$28,3,FALSE))</f>
        <v>0</v>
      </c>
    </row>
    <row r="44" spans="1:16383" ht="13" customHeight="1">
      <c r="A44" s="89" t="str">
        <f>IF(ISERROR(VLOOKUP(C44,Datenblatt!$B$84:$B$97,1,FALSE)),"","Ft")</f>
        <v/>
      </c>
      <c r="B44" s="159">
        <f t="shared" si="0"/>
        <v>45504</v>
      </c>
      <c r="C44" s="160">
        <f>C43+1</f>
        <v>45504</v>
      </c>
      <c r="D44" s="67"/>
      <c r="E44" s="67"/>
      <c r="F44" s="68"/>
      <c r="G44" s="69"/>
      <c r="H44" s="68"/>
      <c r="I44" s="68"/>
      <c r="J44" s="99"/>
      <c r="K44" s="212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209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210" t="str">
        <f>IF(D44="","",IF(E43="ND",VLOOKUP(D44,Datenblatt!$A$2:$C$31,3,FALSE)-1,IF(E43="ND12,5",VLOOKUP(D44,Datenblatt!$A$2:$C$31,3,FALSE)-0.5,VLOOKUP(D44,Datenblatt!$A$2:$C$31,3,FALSE)-M45)))</f>
        <v/>
      </c>
      <c r="N44" s="211" t="str">
        <f t="shared" si="2"/>
        <v/>
      </c>
      <c r="O44" s="211" t="str">
        <f t="shared" si="3"/>
        <v/>
      </c>
      <c r="P44" s="186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103" t="str">
        <f>IF(D44="","",VLOOKUP(D44,Datenblatt!$A$2:$D$31,4,FALSE))</f>
        <v/>
      </c>
      <c r="R44" s="104" t="str">
        <f>IF(E44="","",VLOOKUP(E44,Datenblatt!$E$2:$G$28,2,FALSE))</f>
        <v/>
      </c>
      <c r="S44" s="107"/>
      <c r="T44" s="111">
        <f t="shared" si="7"/>
        <v>0</v>
      </c>
      <c r="U44" s="114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12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12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54">
        <f t="array" ref="X44">IF(T44=0,0,IF((AND((ROW(T44)=MATCH(TRUE,($T$1:$T$44)&gt;0,0)))),IF(W44&gt;=0,W44-0,0),IF(W44&gt;=2,2,W44)))</f>
        <v>0</v>
      </c>
      <c r="Y44" s="254">
        <f t="array" ref="Y44">IF(T43=0,0,(IF((AND((ROW(T43)=MATCH(TRUE,($T$1:$T$44)&gt;0,0)))),IF(W43&gt;=6,6,W43),IF(W43&gt;=2,W43-2,0))))</f>
        <v>0</v>
      </c>
      <c r="Z44" s="111" t="str">
        <f t="shared" si="1"/>
        <v/>
      </c>
      <c r="AA44" s="214">
        <f>IF(E43="ND",IF(ISERROR(MATCH(D44,Datenblatt!$L$2:$L$18,0)),3,2),IF(E43="ND12,5",IF(ISERROR(MATCH(D44,Datenblatt!$L$2:$L$18,0)),2.5,2),0))</f>
        <v>0</v>
      </c>
      <c r="AB44" s="214">
        <f>IF((IF(E44="ND",14-IF(D44="",0,VLOOKUP(D44,Datenblatt!$L$2:$M$30,2,FALSE)),IF(E44="ND12,5",2,0)))&lt;0,0,(IF(E44="ND",14-IF(D44="",0,VLOOKUP(D44,Datenblatt!$L$2:$M$30,2,FALSE)),IF(E44="ND12,5",2,0))))</f>
        <v>0</v>
      </c>
      <c r="AC44" s="214">
        <f t="shared" si="4"/>
        <v>0</v>
      </c>
      <c r="AD44" s="214">
        <f t="shared" si="5"/>
        <v>0</v>
      </c>
      <c r="AE44" s="214">
        <f t="shared" si="8"/>
        <v>0</v>
      </c>
      <c r="AF44" s="112">
        <f t="shared" si="9"/>
        <v>0</v>
      </c>
      <c r="AG44" s="112">
        <f t="shared" si="10"/>
        <v>0</v>
      </c>
      <c r="AH44" s="112">
        <f>IF(E44="",0,VLOOKUP(E44,Datenblatt!$E$2:$G$28,3,FALSE))</f>
        <v>0</v>
      </c>
    </row>
    <row r="45" spans="1:16383" ht="13" customHeight="1">
      <c r="A45" s="227" t="str">
        <f>IF(ISERROR(VLOOKUP(C45,Datenblatt!$B$84:$B$97,1,FALSE)),"","Ft")</f>
        <v/>
      </c>
      <c r="B45" s="153"/>
      <c r="C45" s="150"/>
      <c r="D45" s="150"/>
      <c r="E45" s="150"/>
      <c r="F45" s="150"/>
      <c r="G45" s="150"/>
      <c r="H45" s="150"/>
      <c r="I45" s="150"/>
      <c r="J45" s="154">
        <f>SUM(J14:J44)</f>
        <v>0</v>
      </c>
      <c r="K45" s="213">
        <f>SUM(K14:K44)</f>
        <v>0</v>
      </c>
      <c r="L45" s="172" t="str">
        <f>IF(D44="ND",9,IF(D44="ND12,5",8.5,"0"))</f>
        <v>0</v>
      </c>
      <c r="M45" s="172" t="str">
        <f>IF(D44="ND",9,IF(D44="ND12,5",8.5,"0"))</f>
        <v>0</v>
      </c>
      <c r="N45" s="221">
        <f t="shared" ref="N45:O45" si="11">SUM(N14:N44)</f>
        <v>0</v>
      </c>
      <c r="O45" s="221">
        <f t="shared" si="11"/>
        <v>0</v>
      </c>
      <c r="P45" s="197">
        <f>SUM(P14:P44)</f>
        <v>0</v>
      </c>
      <c r="Q45" s="173"/>
      <c r="R45" s="156"/>
      <c r="S45" s="157"/>
      <c r="T45" s="155"/>
      <c r="U45" s="115"/>
      <c r="V45" s="116"/>
      <c r="W45" s="116"/>
      <c r="X45" s="116"/>
      <c r="Y45" s="116"/>
      <c r="Z45" s="155"/>
      <c r="AA45" s="215"/>
      <c r="AB45" s="215"/>
      <c r="AC45" s="215"/>
      <c r="AD45" s="215"/>
      <c r="AE45" s="215"/>
      <c r="AF45" s="118"/>
      <c r="AG45" s="118"/>
    </row>
    <row r="46" spans="1:16383" ht="0.75" customHeight="1" thickBot="1">
      <c r="A46" s="470"/>
      <c r="B46" s="70"/>
      <c r="C46" s="71"/>
      <c r="D46" s="72"/>
      <c r="E46" s="102"/>
      <c r="F46" s="73"/>
      <c r="G46" s="74"/>
      <c r="H46" s="75"/>
      <c r="I46" s="74"/>
      <c r="J46" s="76"/>
      <c r="K46" s="94"/>
      <c r="L46" s="75"/>
      <c r="M46" s="77"/>
      <c r="N46" s="77"/>
      <c r="O46" s="78"/>
      <c r="P46" s="79"/>
      <c r="Q46" s="74"/>
      <c r="R46" s="70"/>
      <c r="S46" s="80"/>
      <c r="T46" s="117"/>
      <c r="U46" s="117"/>
      <c r="V46" s="117"/>
      <c r="W46" s="117"/>
      <c r="X46" s="117"/>
      <c r="Y46" s="117"/>
      <c r="Z46" s="187"/>
      <c r="AA46" s="216"/>
      <c r="AB46" s="216"/>
      <c r="AC46" s="216"/>
      <c r="AD46" s="216"/>
      <c r="AE46" s="216"/>
      <c r="AF46" s="243"/>
      <c r="AG46" s="243"/>
      <c r="AH46" s="300"/>
      <c r="AI46" s="80"/>
      <c r="AJ46" s="80"/>
      <c r="AK46" s="80"/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0"/>
      <c r="BD46" s="80"/>
      <c r="BE46" s="80"/>
      <c r="BF46" s="80"/>
      <c r="BG46" s="80"/>
      <c r="BH46" s="80"/>
      <c r="BI46" s="80"/>
      <c r="BJ46" s="80"/>
      <c r="BK46" s="80"/>
      <c r="BL46" s="80"/>
      <c r="BM46" s="80"/>
      <c r="BN46" s="80"/>
      <c r="BO46" s="80"/>
      <c r="BP46" s="80"/>
      <c r="BQ46" s="80"/>
      <c r="BR46" s="80"/>
      <c r="BS46" s="80"/>
      <c r="BT46" s="80"/>
      <c r="BU46" s="80"/>
      <c r="BV46" s="80"/>
      <c r="BW46" s="80"/>
      <c r="BX46" s="80"/>
      <c r="BY46" s="80"/>
      <c r="BZ46" s="80"/>
      <c r="CA46" s="80"/>
      <c r="CB46" s="80"/>
      <c r="CC46" s="80"/>
      <c r="CD46" s="80"/>
      <c r="CE46" s="80"/>
      <c r="CF46" s="80"/>
      <c r="CG46" s="80"/>
      <c r="CH46" s="80"/>
      <c r="CI46" s="80"/>
      <c r="CJ46" s="80"/>
      <c r="CK46" s="80"/>
      <c r="CL46" s="80"/>
      <c r="CM46" s="80"/>
      <c r="CN46" s="80"/>
      <c r="CO46" s="80"/>
      <c r="CP46" s="80"/>
      <c r="CQ46" s="80"/>
      <c r="CR46" s="80"/>
      <c r="CS46" s="80"/>
      <c r="CT46" s="80"/>
      <c r="CU46" s="80"/>
      <c r="CV46" s="80"/>
      <c r="CW46" s="80"/>
      <c r="CX46" s="80"/>
      <c r="CY46" s="80"/>
      <c r="CZ46" s="80"/>
      <c r="DA46" s="80"/>
      <c r="DB46" s="80"/>
      <c r="DC46" s="80"/>
      <c r="DD46" s="80"/>
      <c r="DE46" s="80"/>
      <c r="DF46" s="80"/>
      <c r="DG46" s="80"/>
      <c r="DH46" s="80"/>
      <c r="DI46" s="80"/>
      <c r="DJ46" s="80"/>
      <c r="DK46" s="80"/>
      <c r="DL46" s="80"/>
      <c r="DM46" s="80"/>
      <c r="DN46" s="80"/>
      <c r="DO46" s="80"/>
      <c r="DP46" s="80"/>
      <c r="DQ46" s="80"/>
      <c r="DR46" s="80"/>
      <c r="DS46" s="80"/>
      <c r="DT46" s="80"/>
      <c r="DU46" s="80"/>
      <c r="DV46" s="80"/>
      <c r="DW46" s="80"/>
      <c r="DX46" s="80"/>
      <c r="DY46" s="80"/>
      <c r="DZ46" s="80"/>
      <c r="EA46" s="80"/>
      <c r="EB46" s="80"/>
      <c r="EC46" s="80"/>
      <c r="ED46" s="80"/>
      <c r="EE46" s="80"/>
      <c r="EF46" s="80"/>
      <c r="EG46" s="80"/>
      <c r="EH46" s="80"/>
      <c r="EI46" s="80"/>
      <c r="EJ46" s="80"/>
      <c r="EK46" s="80"/>
      <c r="EL46" s="80"/>
      <c r="EM46" s="80"/>
      <c r="EN46" s="80"/>
      <c r="EO46" s="80"/>
      <c r="EP46" s="80"/>
      <c r="EQ46" s="80"/>
      <c r="ER46" s="80"/>
      <c r="ES46" s="80"/>
      <c r="ET46" s="80"/>
      <c r="EU46" s="80"/>
      <c r="EV46" s="80"/>
      <c r="EW46" s="80"/>
      <c r="EX46" s="80"/>
      <c r="EY46" s="80"/>
      <c r="EZ46" s="80"/>
      <c r="FA46" s="80"/>
      <c r="FB46" s="80"/>
      <c r="FC46" s="80"/>
      <c r="FD46" s="80"/>
      <c r="FE46" s="80"/>
      <c r="FF46" s="80"/>
      <c r="FG46" s="80"/>
      <c r="FH46" s="80"/>
      <c r="FI46" s="80"/>
      <c r="FJ46" s="80"/>
      <c r="FK46" s="80"/>
      <c r="FL46" s="80"/>
      <c r="FM46" s="80"/>
      <c r="FN46" s="80"/>
      <c r="FO46" s="80"/>
      <c r="FP46" s="80"/>
      <c r="FQ46" s="80"/>
      <c r="FR46" s="80"/>
      <c r="FS46" s="80"/>
      <c r="FT46" s="80"/>
      <c r="FU46" s="80"/>
      <c r="FV46" s="80"/>
      <c r="FW46" s="80"/>
      <c r="FX46" s="80"/>
      <c r="FY46" s="80"/>
      <c r="FZ46" s="80"/>
      <c r="GA46" s="80"/>
      <c r="GB46" s="80"/>
      <c r="GC46" s="80"/>
      <c r="GD46" s="80"/>
      <c r="GE46" s="80"/>
      <c r="GF46" s="80"/>
      <c r="GG46" s="80"/>
      <c r="GH46" s="80"/>
      <c r="GI46" s="80"/>
      <c r="GJ46" s="80"/>
      <c r="GK46" s="80"/>
      <c r="GL46" s="80"/>
      <c r="GM46" s="80"/>
      <c r="GN46" s="80"/>
      <c r="GO46" s="80"/>
      <c r="GP46" s="80"/>
      <c r="GQ46" s="80"/>
      <c r="GR46" s="80"/>
      <c r="GS46" s="80"/>
      <c r="GT46" s="80"/>
      <c r="GU46" s="80"/>
      <c r="GV46" s="80"/>
      <c r="GW46" s="80"/>
      <c r="GX46" s="80"/>
      <c r="GY46" s="80"/>
      <c r="GZ46" s="80"/>
      <c r="HA46" s="80"/>
      <c r="HB46" s="80"/>
      <c r="HC46" s="80"/>
      <c r="HD46" s="80"/>
      <c r="HE46" s="80"/>
      <c r="HF46" s="80"/>
      <c r="HG46" s="80"/>
      <c r="HH46" s="80"/>
      <c r="HI46" s="80"/>
      <c r="HJ46" s="80"/>
      <c r="HK46" s="80"/>
      <c r="HL46" s="80"/>
      <c r="HM46" s="80"/>
      <c r="HN46" s="80"/>
      <c r="HO46" s="80"/>
      <c r="HP46" s="80"/>
      <c r="HQ46" s="80"/>
      <c r="HR46" s="80"/>
      <c r="HS46" s="80"/>
      <c r="HT46" s="80"/>
      <c r="HU46" s="80"/>
      <c r="HV46" s="80"/>
      <c r="HW46" s="80"/>
      <c r="HX46" s="80"/>
      <c r="HY46" s="80"/>
      <c r="HZ46" s="80"/>
      <c r="IA46" s="80"/>
      <c r="IB46" s="80"/>
      <c r="IC46" s="80"/>
      <c r="ID46" s="80"/>
      <c r="IE46" s="80"/>
      <c r="IF46" s="80"/>
      <c r="IG46" s="80"/>
      <c r="IH46" s="80"/>
      <c r="II46" s="80"/>
      <c r="IJ46" s="80"/>
      <c r="IK46" s="80"/>
      <c r="IL46" s="80"/>
      <c r="IM46" s="80"/>
      <c r="IN46" s="80"/>
      <c r="IO46" s="80"/>
      <c r="IP46" s="80"/>
      <c r="IQ46" s="80"/>
      <c r="IR46" s="80"/>
      <c r="IS46" s="80"/>
      <c r="IT46" s="80"/>
      <c r="IU46" s="80"/>
      <c r="IV46" s="80"/>
      <c r="IW46" s="80"/>
      <c r="IX46" s="80"/>
      <c r="IY46" s="80"/>
      <c r="IZ46" s="80"/>
      <c r="JA46" s="80"/>
      <c r="JB46" s="80"/>
      <c r="JC46" s="80"/>
      <c r="JD46" s="80"/>
      <c r="JE46" s="80"/>
      <c r="JF46" s="80"/>
      <c r="JG46" s="80"/>
      <c r="JH46" s="80"/>
      <c r="JI46" s="80"/>
      <c r="JJ46" s="80"/>
      <c r="JK46" s="80"/>
      <c r="JL46" s="80"/>
      <c r="JM46" s="80"/>
      <c r="JN46" s="80"/>
      <c r="JO46" s="80"/>
      <c r="JP46" s="80"/>
      <c r="JQ46" s="80"/>
      <c r="JR46" s="80"/>
      <c r="JS46" s="80"/>
      <c r="JT46" s="80"/>
      <c r="JU46" s="80"/>
      <c r="JV46" s="80"/>
      <c r="JW46" s="80"/>
      <c r="JX46" s="80"/>
      <c r="JY46" s="80"/>
      <c r="JZ46" s="80"/>
      <c r="KA46" s="80"/>
      <c r="KB46" s="80"/>
      <c r="KC46" s="80"/>
      <c r="KD46" s="80"/>
      <c r="KE46" s="80"/>
      <c r="KF46" s="80"/>
      <c r="KG46" s="80"/>
      <c r="KH46" s="80"/>
      <c r="KI46" s="80"/>
      <c r="KJ46" s="80"/>
      <c r="KK46" s="80"/>
      <c r="KL46" s="80"/>
      <c r="KM46" s="80"/>
      <c r="KN46" s="80"/>
      <c r="KO46" s="80"/>
      <c r="KP46" s="80"/>
      <c r="KQ46" s="80"/>
      <c r="KR46" s="80"/>
      <c r="KS46" s="80"/>
      <c r="KT46" s="80"/>
      <c r="KU46" s="80"/>
      <c r="KV46" s="80"/>
      <c r="KW46" s="80"/>
      <c r="KX46" s="80"/>
      <c r="KY46" s="80"/>
      <c r="KZ46" s="80"/>
      <c r="LA46" s="80"/>
      <c r="LB46" s="80"/>
      <c r="LC46" s="80"/>
      <c r="LD46" s="80"/>
      <c r="LE46" s="80"/>
      <c r="LF46" s="80"/>
      <c r="LG46" s="80"/>
      <c r="LH46" s="80"/>
      <c r="LI46" s="80"/>
      <c r="LJ46" s="80"/>
      <c r="LK46" s="80"/>
      <c r="LL46" s="80"/>
      <c r="LM46" s="80"/>
      <c r="LN46" s="80"/>
      <c r="LO46" s="80"/>
      <c r="LP46" s="80"/>
      <c r="LQ46" s="80"/>
      <c r="LR46" s="80"/>
      <c r="LS46" s="80"/>
      <c r="LT46" s="80"/>
      <c r="LU46" s="80"/>
      <c r="LV46" s="80"/>
      <c r="LW46" s="80"/>
      <c r="LX46" s="80"/>
      <c r="LY46" s="80"/>
      <c r="LZ46" s="80"/>
      <c r="MA46" s="80"/>
      <c r="MB46" s="80"/>
      <c r="MC46" s="80"/>
      <c r="MD46" s="80"/>
      <c r="ME46" s="80"/>
      <c r="MF46" s="80"/>
      <c r="MG46" s="80"/>
      <c r="MH46" s="80"/>
      <c r="MI46" s="80"/>
      <c r="MJ46" s="80"/>
      <c r="MK46" s="80"/>
      <c r="ML46" s="80"/>
      <c r="MM46" s="80"/>
      <c r="MN46" s="80"/>
      <c r="MO46" s="80"/>
      <c r="MP46" s="80"/>
      <c r="MQ46" s="80"/>
      <c r="MR46" s="80"/>
      <c r="MS46" s="80"/>
      <c r="MT46" s="80"/>
      <c r="MU46" s="80"/>
      <c r="MV46" s="80"/>
      <c r="MW46" s="80"/>
      <c r="MX46" s="80"/>
      <c r="MY46" s="80"/>
      <c r="MZ46" s="80"/>
      <c r="NA46" s="80"/>
      <c r="NB46" s="80"/>
      <c r="NC46" s="80"/>
      <c r="ND46" s="80"/>
      <c r="NE46" s="80"/>
      <c r="NF46" s="80"/>
      <c r="NG46" s="80"/>
      <c r="NH46" s="80"/>
      <c r="NI46" s="80"/>
      <c r="NJ46" s="80"/>
      <c r="NK46" s="80"/>
      <c r="NL46" s="80"/>
      <c r="NM46" s="80"/>
      <c r="NN46" s="80"/>
      <c r="NO46" s="80"/>
      <c r="NP46" s="80"/>
      <c r="NQ46" s="80"/>
      <c r="NR46" s="80"/>
      <c r="NS46" s="80"/>
      <c r="NT46" s="80"/>
      <c r="NU46" s="80"/>
      <c r="NV46" s="80"/>
      <c r="NW46" s="80"/>
      <c r="NX46" s="80"/>
      <c r="NY46" s="80"/>
      <c r="NZ46" s="80"/>
      <c r="OA46" s="80"/>
      <c r="OB46" s="80"/>
      <c r="OC46" s="80"/>
      <c r="OD46" s="80"/>
      <c r="OE46" s="80"/>
      <c r="OF46" s="80"/>
      <c r="OG46" s="80"/>
      <c r="OH46" s="80"/>
      <c r="OI46" s="80"/>
      <c r="OJ46" s="80"/>
      <c r="OK46" s="80"/>
      <c r="OL46" s="80"/>
      <c r="OM46" s="80"/>
      <c r="ON46" s="80"/>
      <c r="OO46" s="80"/>
      <c r="OP46" s="80"/>
      <c r="OQ46" s="80"/>
      <c r="OR46" s="80"/>
      <c r="OS46" s="80"/>
      <c r="OT46" s="80"/>
      <c r="OU46" s="80"/>
      <c r="OV46" s="80"/>
      <c r="OW46" s="80"/>
      <c r="OX46" s="80"/>
      <c r="OY46" s="80"/>
      <c r="OZ46" s="80"/>
      <c r="PA46" s="80"/>
      <c r="PB46" s="80"/>
      <c r="PC46" s="80"/>
      <c r="PD46" s="80"/>
      <c r="PE46" s="80"/>
      <c r="PF46" s="80"/>
      <c r="PG46" s="80"/>
      <c r="PH46" s="80"/>
      <c r="PI46" s="80"/>
      <c r="PJ46" s="80"/>
      <c r="PK46" s="80"/>
      <c r="PL46" s="80"/>
      <c r="PM46" s="80"/>
      <c r="PN46" s="80"/>
      <c r="PO46" s="80"/>
      <c r="PP46" s="80"/>
      <c r="PQ46" s="80"/>
      <c r="PR46" s="80"/>
      <c r="PS46" s="80"/>
      <c r="PT46" s="80"/>
      <c r="PU46" s="80"/>
      <c r="PV46" s="80"/>
      <c r="PW46" s="80"/>
      <c r="PX46" s="80"/>
      <c r="PY46" s="80"/>
      <c r="PZ46" s="80"/>
      <c r="QA46" s="80"/>
      <c r="QB46" s="80"/>
      <c r="QC46" s="80"/>
      <c r="QD46" s="80"/>
      <c r="QE46" s="80"/>
      <c r="QF46" s="80"/>
      <c r="QG46" s="80"/>
      <c r="QH46" s="80"/>
      <c r="QI46" s="80"/>
      <c r="QJ46" s="80"/>
      <c r="QK46" s="80"/>
      <c r="QL46" s="80"/>
      <c r="QM46" s="80"/>
      <c r="QN46" s="80"/>
      <c r="QO46" s="80"/>
      <c r="QP46" s="80"/>
      <c r="QQ46" s="80"/>
      <c r="QR46" s="80"/>
      <c r="QS46" s="80"/>
      <c r="QT46" s="80"/>
      <c r="QU46" s="80"/>
      <c r="QV46" s="80"/>
      <c r="QW46" s="80"/>
      <c r="QX46" s="80"/>
      <c r="QY46" s="80"/>
      <c r="QZ46" s="80"/>
      <c r="RA46" s="80"/>
      <c r="RB46" s="80"/>
      <c r="RC46" s="80"/>
      <c r="RD46" s="80"/>
      <c r="RE46" s="80"/>
      <c r="RF46" s="80"/>
      <c r="RG46" s="80"/>
      <c r="RH46" s="80"/>
      <c r="RI46" s="80"/>
      <c r="RJ46" s="80"/>
      <c r="RK46" s="80"/>
      <c r="RL46" s="80"/>
      <c r="RM46" s="80"/>
      <c r="RN46" s="80"/>
      <c r="RO46" s="80"/>
      <c r="RP46" s="80"/>
      <c r="RQ46" s="80"/>
      <c r="RR46" s="80"/>
      <c r="RS46" s="80"/>
      <c r="RT46" s="80"/>
      <c r="RU46" s="80"/>
      <c r="RV46" s="80"/>
      <c r="RW46" s="80"/>
      <c r="RX46" s="80"/>
      <c r="RY46" s="80"/>
      <c r="RZ46" s="80"/>
      <c r="SA46" s="80"/>
      <c r="SB46" s="80"/>
      <c r="SC46" s="80"/>
      <c r="SD46" s="80"/>
      <c r="SE46" s="80"/>
      <c r="SF46" s="80"/>
      <c r="SG46" s="80"/>
      <c r="SH46" s="80"/>
      <c r="SI46" s="80"/>
      <c r="SJ46" s="80"/>
      <c r="SK46" s="80"/>
      <c r="SL46" s="80"/>
      <c r="SM46" s="80"/>
      <c r="SN46" s="80"/>
      <c r="SO46" s="80"/>
      <c r="SP46" s="80"/>
      <c r="SQ46" s="80"/>
      <c r="SR46" s="80"/>
      <c r="SS46" s="80"/>
      <c r="ST46" s="80"/>
      <c r="SU46" s="80"/>
      <c r="SV46" s="80"/>
      <c r="SW46" s="80"/>
      <c r="SX46" s="80"/>
      <c r="SY46" s="80"/>
      <c r="SZ46" s="80"/>
      <c r="TA46" s="80"/>
      <c r="TB46" s="80"/>
      <c r="TC46" s="80"/>
      <c r="TD46" s="80"/>
      <c r="TE46" s="80"/>
      <c r="TF46" s="80"/>
      <c r="TG46" s="80"/>
      <c r="TH46" s="80"/>
      <c r="TI46" s="80"/>
      <c r="TJ46" s="80"/>
      <c r="TK46" s="80"/>
      <c r="TL46" s="80"/>
      <c r="TM46" s="80"/>
      <c r="TN46" s="80"/>
      <c r="TO46" s="80"/>
      <c r="TP46" s="80"/>
      <c r="TQ46" s="80"/>
      <c r="TR46" s="80"/>
      <c r="TS46" s="80"/>
      <c r="TT46" s="80"/>
      <c r="TU46" s="80"/>
      <c r="TV46" s="80"/>
      <c r="TW46" s="80"/>
      <c r="TX46" s="80"/>
      <c r="TY46" s="80"/>
      <c r="TZ46" s="80"/>
      <c r="UA46" s="80"/>
      <c r="UB46" s="80"/>
      <c r="UC46" s="80"/>
      <c r="UD46" s="80"/>
      <c r="UE46" s="80"/>
      <c r="UF46" s="80"/>
      <c r="UG46" s="80"/>
      <c r="UH46" s="80"/>
      <c r="UI46" s="80"/>
      <c r="UJ46" s="80"/>
      <c r="UK46" s="80"/>
      <c r="UL46" s="80"/>
      <c r="UM46" s="80"/>
      <c r="UN46" s="80"/>
      <c r="UO46" s="80"/>
      <c r="UP46" s="80"/>
      <c r="UQ46" s="80"/>
      <c r="UR46" s="80"/>
      <c r="US46" s="80"/>
      <c r="UT46" s="80"/>
      <c r="UU46" s="80"/>
      <c r="UV46" s="80"/>
      <c r="UW46" s="80"/>
      <c r="UX46" s="80"/>
      <c r="UY46" s="80"/>
      <c r="UZ46" s="80"/>
      <c r="VA46" s="80"/>
      <c r="VB46" s="80"/>
      <c r="VC46" s="80"/>
      <c r="VD46" s="80"/>
      <c r="VE46" s="80"/>
      <c r="VF46" s="80"/>
      <c r="VG46" s="80"/>
      <c r="VH46" s="80"/>
      <c r="VI46" s="80"/>
      <c r="VJ46" s="80"/>
      <c r="VK46" s="80"/>
      <c r="VL46" s="80"/>
      <c r="VM46" s="80"/>
      <c r="VN46" s="80"/>
      <c r="VO46" s="80"/>
      <c r="VP46" s="80"/>
      <c r="VQ46" s="80"/>
      <c r="VR46" s="80"/>
      <c r="VS46" s="80"/>
      <c r="VT46" s="80"/>
      <c r="VU46" s="80"/>
      <c r="VV46" s="80"/>
      <c r="VW46" s="80"/>
      <c r="VX46" s="80"/>
      <c r="VY46" s="80"/>
      <c r="VZ46" s="80"/>
      <c r="WA46" s="80"/>
      <c r="WB46" s="80"/>
      <c r="WC46" s="80"/>
      <c r="WD46" s="80"/>
      <c r="WE46" s="80"/>
      <c r="WF46" s="80"/>
      <c r="WG46" s="80"/>
      <c r="WH46" s="80"/>
      <c r="WI46" s="80"/>
      <c r="WJ46" s="80"/>
      <c r="WK46" s="80"/>
      <c r="WL46" s="80"/>
      <c r="WM46" s="80"/>
      <c r="WN46" s="80"/>
      <c r="WO46" s="80"/>
      <c r="WP46" s="80"/>
      <c r="WQ46" s="80"/>
      <c r="WR46" s="80"/>
      <c r="WS46" s="80"/>
      <c r="WT46" s="80"/>
      <c r="WU46" s="80"/>
      <c r="WV46" s="80"/>
      <c r="WW46" s="80"/>
      <c r="WX46" s="80"/>
      <c r="WY46" s="80"/>
      <c r="WZ46" s="80"/>
      <c r="XA46" s="80"/>
      <c r="XB46" s="80"/>
      <c r="XC46" s="80"/>
      <c r="XD46" s="80"/>
      <c r="XE46" s="80"/>
      <c r="XF46" s="80"/>
      <c r="XG46" s="80"/>
      <c r="XH46" s="80"/>
      <c r="XI46" s="80"/>
      <c r="XJ46" s="80"/>
      <c r="XK46" s="80"/>
      <c r="XL46" s="80"/>
      <c r="XM46" s="80"/>
      <c r="XN46" s="80"/>
      <c r="XO46" s="80"/>
      <c r="XP46" s="80"/>
      <c r="XQ46" s="80"/>
      <c r="XR46" s="80"/>
      <c r="XS46" s="80"/>
      <c r="XT46" s="80"/>
      <c r="XU46" s="80"/>
      <c r="XV46" s="80"/>
      <c r="XW46" s="80"/>
      <c r="XX46" s="80"/>
      <c r="XY46" s="80"/>
      <c r="XZ46" s="80"/>
      <c r="YA46" s="80"/>
      <c r="YB46" s="80"/>
      <c r="YC46" s="80"/>
      <c r="YD46" s="80"/>
      <c r="YE46" s="80"/>
      <c r="YF46" s="80"/>
      <c r="YG46" s="80"/>
      <c r="YH46" s="80"/>
      <c r="YI46" s="80"/>
      <c r="YJ46" s="80"/>
      <c r="YK46" s="80"/>
      <c r="YL46" s="80"/>
      <c r="YM46" s="80"/>
      <c r="YN46" s="80"/>
      <c r="YO46" s="80"/>
      <c r="YP46" s="80"/>
      <c r="YQ46" s="80"/>
      <c r="YR46" s="80"/>
      <c r="YS46" s="80"/>
      <c r="YT46" s="80"/>
      <c r="YU46" s="80"/>
      <c r="YV46" s="80"/>
      <c r="YW46" s="80"/>
      <c r="YX46" s="80"/>
      <c r="YY46" s="80"/>
      <c r="YZ46" s="80"/>
      <c r="ZA46" s="80"/>
      <c r="ZB46" s="80"/>
      <c r="ZC46" s="80"/>
      <c r="ZD46" s="80"/>
      <c r="ZE46" s="80"/>
      <c r="ZF46" s="80"/>
      <c r="ZG46" s="80"/>
      <c r="ZH46" s="80"/>
      <c r="ZI46" s="80"/>
      <c r="ZJ46" s="80"/>
      <c r="ZK46" s="80"/>
      <c r="ZL46" s="80"/>
      <c r="ZM46" s="80"/>
      <c r="ZN46" s="80"/>
      <c r="ZO46" s="80"/>
      <c r="ZP46" s="80"/>
      <c r="ZQ46" s="80"/>
      <c r="ZR46" s="80"/>
      <c r="ZS46" s="80"/>
      <c r="ZT46" s="80"/>
      <c r="ZU46" s="80"/>
      <c r="ZV46" s="80"/>
      <c r="ZW46" s="80"/>
      <c r="ZX46" s="80"/>
      <c r="ZY46" s="80"/>
      <c r="ZZ46" s="80"/>
      <c r="AAA46" s="80"/>
      <c r="AAB46" s="80"/>
      <c r="AAC46" s="80"/>
      <c r="AAD46" s="80"/>
      <c r="AAE46" s="80"/>
      <c r="AAF46" s="80"/>
      <c r="AAG46" s="80"/>
      <c r="AAH46" s="80"/>
      <c r="AAI46" s="80"/>
      <c r="AAJ46" s="80"/>
      <c r="AAK46" s="80"/>
      <c r="AAL46" s="80"/>
      <c r="AAM46" s="80"/>
      <c r="AAN46" s="80"/>
      <c r="AAO46" s="80"/>
      <c r="AAP46" s="80"/>
      <c r="AAQ46" s="80"/>
      <c r="AAR46" s="80"/>
      <c r="AAS46" s="80"/>
      <c r="AAT46" s="80"/>
      <c r="AAU46" s="80"/>
      <c r="AAV46" s="80"/>
      <c r="AAW46" s="80"/>
      <c r="AAX46" s="80"/>
      <c r="AAY46" s="80"/>
      <c r="AAZ46" s="80"/>
      <c r="ABA46" s="80"/>
      <c r="ABB46" s="80"/>
      <c r="ABC46" s="80"/>
      <c r="ABD46" s="80"/>
      <c r="ABE46" s="80"/>
      <c r="ABF46" s="80"/>
      <c r="ABG46" s="80"/>
      <c r="ABH46" s="80"/>
      <c r="ABI46" s="80"/>
      <c r="ABJ46" s="80"/>
      <c r="ABK46" s="80"/>
      <c r="ABL46" s="80"/>
      <c r="ABM46" s="80"/>
      <c r="ABN46" s="80"/>
      <c r="ABO46" s="80"/>
      <c r="ABP46" s="80"/>
      <c r="ABQ46" s="80"/>
      <c r="ABR46" s="80"/>
      <c r="ABS46" s="80"/>
      <c r="ABT46" s="80"/>
      <c r="ABU46" s="80"/>
      <c r="ABV46" s="80"/>
      <c r="ABW46" s="80"/>
      <c r="ABX46" s="80"/>
      <c r="ABY46" s="80"/>
      <c r="ABZ46" s="80"/>
      <c r="ACA46" s="80"/>
      <c r="ACB46" s="80"/>
      <c r="ACC46" s="80"/>
      <c r="ACD46" s="80"/>
      <c r="ACE46" s="80"/>
      <c r="ACF46" s="80"/>
      <c r="ACG46" s="80"/>
      <c r="ACH46" s="80"/>
      <c r="ACI46" s="80"/>
      <c r="ACJ46" s="80"/>
      <c r="ACK46" s="80"/>
      <c r="ACL46" s="80"/>
      <c r="ACM46" s="80"/>
      <c r="ACN46" s="80"/>
      <c r="ACO46" s="80"/>
      <c r="ACP46" s="80"/>
      <c r="ACQ46" s="80"/>
      <c r="ACR46" s="80"/>
      <c r="ACS46" s="80"/>
      <c r="ACT46" s="80"/>
      <c r="ACU46" s="80"/>
      <c r="ACV46" s="80"/>
      <c r="ACW46" s="80"/>
      <c r="ACX46" s="80"/>
      <c r="ACY46" s="80"/>
      <c r="ACZ46" s="80"/>
      <c r="ADA46" s="80"/>
      <c r="ADB46" s="80"/>
      <c r="ADC46" s="80"/>
      <c r="ADD46" s="80"/>
      <c r="ADE46" s="80"/>
      <c r="ADF46" s="80"/>
      <c r="ADG46" s="80"/>
      <c r="ADH46" s="80"/>
      <c r="ADI46" s="80"/>
      <c r="ADJ46" s="80"/>
      <c r="ADK46" s="80"/>
      <c r="ADL46" s="80"/>
      <c r="ADM46" s="80"/>
      <c r="ADN46" s="80"/>
      <c r="ADO46" s="80"/>
      <c r="ADP46" s="80"/>
      <c r="ADQ46" s="80"/>
      <c r="ADR46" s="80"/>
      <c r="ADS46" s="80"/>
      <c r="ADT46" s="80"/>
      <c r="ADU46" s="80"/>
      <c r="ADV46" s="80"/>
      <c r="ADW46" s="80"/>
      <c r="ADX46" s="80"/>
      <c r="ADY46" s="80"/>
      <c r="ADZ46" s="80"/>
      <c r="AEA46" s="80"/>
      <c r="AEB46" s="80"/>
      <c r="AEC46" s="80"/>
      <c r="AED46" s="80"/>
      <c r="AEE46" s="80"/>
      <c r="AEF46" s="80"/>
      <c r="AEG46" s="80"/>
      <c r="AEH46" s="80"/>
      <c r="AEI46" s="80"/>
      <c r="AEJ46" s="80"/>
      <c r="AEK46" s="80"/>
      <c r="AEL46" s="80"/>
      <c r="AEM46" s="80"/>
      <c r="AEN46" s="80"/>
      <c r="AEO46" s="80"/>
      <c r="AEP46" s="80"/>
      <c r="AEQ46" s="80"/>
      <c r="AER46" s="80"/>
      <c r="AES46" s="80"/>
      <c r="AET46" s="80"/>
      <c r="AEU46" s="80"/>
      <c r="AEV46" s="80"/>
      <c r="AEW46" s="80"/>
      <c r="AEX46" s="80"/>
      <c r="AEY46" s="80"/>
      <c r="AEZ46" s="80"/>
      <c r="AFA46" s="80"/>
      <c r="AFB46" s="80"/>
      <c r="AFC46" s="80"/>
      <c r="AFD46" s="80"/>
      <c r="AFE46" s="80"/>
      <c r="AFF46" s="80"/>
      <c r="AFG46" s="80"/>
      <c r="AFH46" s="80"/>
      <c r="AFI46" s="80"/>
      <c r="AFJ46" s="80"/>
      <c r="AFK46" s="80"/>
      <c r="AFL46" s="80"/>
      <c r="AFM46" s="80"/>
      <c r="AFN46" s="80"/>
      <c r="AFO46" s="80"/>
      <c r="AFP46" s="80"/>
      <c r="AFQ46" s="80"/>
      <c r="AFR46" s="80"/>
      <c r="AFS46" s="80"/>
      <c r="AFT46" s="80"/>
      <c r="AFU46" s="80"/>
      <c r="AFV46" s="80"/>
      <c r="AFW46" s="80"/>
      <c r="AFX46" s="80"/>
      <c r="AFY46" s="80"/>
      <c r="AFZ46" s="80"/>
      <c r="AGA46" s="80"/>
      <c r="AGB46" s="80"/>
      <c r="AGC46" s="80"/>
      <c r="AGD46" s="80"/>
      <c r="AGE46" s="80"/>
      <c r="AGF46" s="80"/>
      <c r="AGG46" s="80"/>
      <c r="AGH46" s="80"/>
      <c r="AGI46" s="80"/>
      <c r="AGJ46" s="80"/>
      <c r="AGK46" s="80"/>
      <c r="AGL46" s="80"/>
      <c r="AGM46" s="80"/>
      <c r="AGN46" s="80"/>
      <c r="AGO46" s="80"/>
      <c r="AGP46" s="80"/>
      <c r="AGQ46" s="80"/>
      <c r="AGR46" s="80"/>
      <c r="AGS46" s="80"/>
      <c r="AGT46" s="80"/>
      <c r="AGU46" s="80"/>
      <c r="AGV46" s="80"/>
      <c r="AGW46" s="80"/>
      <c r="AGX46" s="80"/>
      <c r="AGY46" s="80"/>
      <c r="AGZ46" s="80"/>
      <c r="AHA46" s="80"/>
      <c r="AHB46" s="80"/>
      <c r="AHC46" s="80"/>
      <c r="AHD46" s="80"/>
      <c r="AHE46" s="80"/>
      <c r="AHF46" s="80"/>
      <c r="AHG46" s="80"/>
      <c r="AHH46" s="80"/>
      <c r="AHI46" s="80"/>
      <c r="AHJ46" s="80"/>
      <c r="AHK46" s="80"/>
      <c r="AHL46" s="80"/>
      <c r="AHM46" s="80"/>
      <c r="AHN46" s="80"/>
      <c r="AHO46" s="80"/>
      <c r="AHP46" s="80"/>
      <c r="AHQ46" s="80"/>
      <c r="AHR46" s="80"/>
      <c r="AHS46" s="80"/>
      <c r="AHT46" s="80"/>
      <c r="AHU46" s="80"/>
      <c r="AHV46" s="80"/>
      <c r="AHW46" s="80"/>
      <c r="AHX46" s="80"/>
      <c r="AHY46" s="80"/>
      <c r="AHZ46" s="80"/>
      <c r="AIA46" s="80"/>
      <c r="AIB46" s="80"/>
      <c r="AIC46" s="80"/>
      <c r="AID46" s="80"/>
      <c r="AIE46" s="80"/>
      <c r="AIF46" s="80"/>
      <c r="AIG46" s="80"/>
      <c r="AIH46" s="80"/>
      <c r="AII46" s="80"/>
      <c r="AIJ46" s="80"/>
      <c r="AIK46" s="80"/>
      <c r="AIL46" s="80"/>
      <c r="AIM46" s="80"/>
      <c r="AIN46" s="80"/>
      <c r="AIO46" s="80"/>
      <c r="AIP46" s="80"/>
      <c r="AIQ46" s="80"/>
      <c r="AIR46" s="80"/>
      <c r="AIS46" s="80"/>
      <c r="AIT46" s="80"/>
      <c r="AIU46" s="80"/>
      <c r="AIV46" s="80"/>
      <c r="AIW46" s="80"/>
      <c r="AIX46" s="80"/>
      <c r="AIY46" s="80"/>
      <c r="AIZ46" s="80"/>
      <c r="AJA46" s="80"/>
      <c r="AJB46" s="80"/>
      <c r="AJC46" s="80"/>
      <c r="AJD46" s="80"/>
      <c r="AJE46" s="80"/>
      <c r="AJF46" s="80"/>
      <c r="AJG46" s="80"/>
      <c r="AJH46" s="80"/>
      <c r="AJI46" s="80"/>
      <c r="AJJ46" s="80"/>
      <c r="AJK46" s="80"/>
      <c r="AJL46" s="80"/>
      <c r="AJM46" s="80"/>
      <c r="AJN46" s="80"/>
      <c r="AJO46" s="80"/>
      <c r="AJP46" s="80"/>
      <c r="AJQ46" s="80"/>
      <c r="AJR46" s="80"/>
      <c r="AJS46" s="80"/>
      <c r="AJT46" s="80"/>
      <c r="AJU46" s="80"/>
      <c r="AJV46" s="80"/>
      <c r="AJW46" s="80"/>
      <c r="AJX46" s="80"/>
      <c r="AJY46" s="80"/>
      <c r="AJZ46" s="80"/>
      <c r="AKA46" s="80"/>
      <c r="AKB46" s="80"/>
      <c r="AKC46" s="80"/>
      <c r="AKD46" s="80"/>
      <c r="AKE46" s="80"/>
      <c r="AKF46" s="80"/>
      <c r="AKG46" s="80"/>
      <c r="AKH46" s="80"/>
      <c r="AKI46" s="80"/>
      <c r="AKJ46" s="80"/>
      <c r="AKK46" s="80"/>
      <c r="AKL46" s="80"/>
      <c r="AKM46" s="80"/>
      <c r="AKN46" s="80"/>
      <c r="AKO46" s="80"/>
      <c r="AKP46" s="80"/>
      <c r="AKQ46" s="80"/>
      <c r="AKR46" s="80"/>
      <c r="AKS46" s="80"/>
      <c r="AKT46" s="80"/>
      <c r="AKU46" s="80"/>
      <c r="AKV46" s="80"/>
      <c r="AKW46" s="80"/>
      <c r="AKX46" s="80"/>
      <c r="AKY46" s="80"/>
      <c r="AKZ46" s="80"/>
      <c r="ALA46" s="80"/>
      <c r="ALB46" s="80"/>
      <c r="ALC46" s="80"/>
      <c r="ALD46" s="80"/>
      <c r="ALE46" s="80"/>
      <c r="ALF46" s="80"/>
      <c r="ALG46" s="80"/>
      <c r="ALH46" s="80"/>
      <c r="ALI46" s="80"/>
      <c r="ALJ46" s="80"/>
      <c r="ALK46" s="80"/>
      <c r="ALL46" s="80"/>
      <c r="ALM46" s="80"/>
      <c r="ALN46" s="80"/>
      <c r="ALO46" s="80"/>
      <c r="ALP46" s="80"/>
      <c r="ALQ46" s="80"/>
      <c r="ALR46" s="80"/>
      <c r="ALS46" s="80"/>
      <c r="ALT46" s="80"/>
      <c r="ALU46" s="80"/>
      <c r="ALV46" s="80"/>
      <c r="ALW46" s="80"/>
      <c r="ALX46" s="80"/>
      <c r="ALY46" s="80"/>
      <c r="ALZ46" s="80"/>
      <c r="AMA46" s="80"/>
      <c r="AMB46" s="80"/>
      <c r="AMC46" s="80"/>
      <c r="AMD46" s="80"/>
      <c r="AME46" s="80"/>
      <c r="AMF46" s="80"/>
      <c r="AMG46" s="80"/>
      <c r="AMH46" s="80"/>
      <c r="AMI46" s="80"/>
      <c r="AMJ46" s="80"/>
      <c r="AMK46" s="80"/>
      <c r="AML46" s="80"/>
      <c r="AMM46" s="80"/>
      <c r="AMN46" s="80"/>
      <c r="AMO46" s="80"/>
      <c r="AMP46" s="80"/>
      <c r="AMQ46" s="80"/>
      <c r="AMR46" s="80"/>
      <c r="AMS46" s="80"/>
      <c r="AMT46" s="80"/>
      <c r="AMU46" s="80"/>
      <c r="AMV46" s="80"/>
      <c r="AMW46" s="80"/>
      <c r="AMX46" s="80"/>
      <c r="AMY46" s="80"/>
      <c r="AMZ46" s="80"/>
      <c r="ANA46" s="80"/>
      <c r="ANB46" s="80"/>
      <c r="ANC46" s="80"/>
      <c r="AND46" s="80"/>
      <c r="ANE46" s="80"/>
      <c r="ANF46" s="80"/>
      <c r="ANG46" s="80"/>
      <c r="ANH46" s="80"/>
      <c r="ANI46" s="80"/>
      <c r="ANJ46" s="80"/>
      <c r="ANK46" s="80"/>
      <c r="ANL46" s="80"/>
      <c r="ANM46" s="80"/>
      <c r="ANN46" s="80"/>
      <c r="ANO46" s="80"/>
      <c r="ANP46" s="80"/>
      <c r="ANQ46" s="80"/>
      <c r="ANR46" s="80"/>
      <c r="ANS46" s="80"/>
      <c r="ANT46" s="80"/>
      <c r="ANU46" s="80"/>
      <c r="ANV46" s="80"/>
      <c r="ANW46" s="80"/>
      <c r="ANX46" s="80"/>
      <c r="ANY46" s="80"/>
      <c r="ANZ46" s="80"/>
      <c r="AOA46" s="80"/>
      <c r="AOB46" s="80"/>
      <c r="AOC46" s="80"/>
      <c r="AOD46" s="80"/>
      <c r="AOE46" s="80"/>
      <c r="AOF46" s="80"/>
      <c r="AOG46" s="80"/>
      <c r="AOH46" s="80"/>
      <c r="AOI46" s="80"/>
      <c r="AOJ46" s="80"/>
      <c r="AOK46" s="80"/>
      <c r="AOL46" s="80"/>
      <c r="AOM46" s="80"/>
      <c r="AON46" s="80"/>
      <c r="AOO46" s="80"/>
      <c r="AOP46" s="80"/>
      <c r="AOQ46" s="80"/>
      <c r="AOR46" s="80"/>
      <c r="AOS46" s="80"/>
      <c r="AOT46" s="80"/>
      <c r="AOU46" s="80"/>
      <c r="AOV46" s="80"/>
      <c r="AOW46" s="80"/>
      <c r="AOX46" s="80"/>
      <c r="AOY46" s="80"/>
      <c r="AOZ46" s="80"/>
      <c r="APA46" s="80"/>
      <c r="APB46" s="80"/>
      <c r="APC46" s="80"/>
      <c r="APD46" s="80"/>
      <c r="APE46" s="80"/>
      <c r="APF46" s="80"/>
      <c r="APG46" s="80"/>
      <c r="APH46" s="80"/>
      <c r="API46" s="80"/>
      <c r="APJ46" s="80"/>
      <c r="APK46" s="80"/>
      <c r="APL46" s="80"/>
      <c r="APM46" s="80"/>
      <c r="APN46" s="80"/>
      <c r="APO46" s="80"/>
      <c r="APP46" s="80"/>
      <c r="APQ46" s="80"/>
      <c r="APR46" s="80"/>
      <c r="APS46" s="80"/>
      <c r="APT46" s="80"/>
      <c r="APU46" s="80"/>
      <c r="APV46" s="80"/>
      <c r="APW46" s="80"/>
      <c r="APX46" s="80"/>
      <c r="APY46" s="80"/>
      <c r="APZ46" s="80"/>
      <c r="AQA46" s="80"/>
      <c r="AQB46" s="80"/>
      <c r="AQC46" s="80"/>
      <c r="AQD46" s="80"/>
      <c r="AQE46" s="80"/>
      <c r="AQF46" s="80"/>
      <c r="AQG46" s="80"/>
      <c r="AQH46" s="80"/>
      <c r="AQI46" s="80"/>
      <c r="AQJ46" s="80"/>
      <c r="AQK46" s="80"/>
      <c r="AQL46" s="80"/>
      <c r="AQM46" s="80"/>
      <c r="AQN46" s="80"/>
      <c r="AQO46" s="80"/>
      <c r="AQP46" s="80"/>
      <c r="AQQ46" s="80"/>
      <c r="AQR46" s="80"/>
      <c r="AQS46" s="80"/>
      <c r="AQT46" s="80"/>
      <c r="AQU46" s="80"/>
      <c r="AQV46" s="80"/>
      <c r="AQW46" s="80"/>
      <c r="AQX46" s="80"/>
      <c r="AQY46" s="80"/>
      <c r="AQZ46" s="80"/>
      <c r="ARA46" s="80"/>
      <c r="ARB46" s="80"/>
      <c r="ARC46" s="80"/>
      <c r="ARD46" s="80"/>
      <c r="ARE46" s="80"/>
      <c r="ARF46" s="80"/>
      <c r="ARG46" s="80"/>
      <c r="ARH46" s="80"/>
      <c r="ARI46" s="80"/>
      <c r="ARJ46" s="80"/>
      <c r="ARK46" s="80"/>
      <c r="ARL46" s="80"/>
      <c r="ARM46" s="80"/>
      <c r="ARN46" s="80"/>
      <c r="ARO46" s="80"/>
      <c r="ARP46" s="80"/>
      <c r="ARQ46" s="80"/>
      <c r="ARR46" s="80"/>
      <c r="ARS46" s="80"/>
      <c r="ART46" s="80"/>
      <c r="ARU46" s="80"/>
      <c r="ARV46" s="80"/>
      <c r="ARW46" s="80"/>
      <c r="ARX46" s="80"/>
      <c r="ARY46" s="80"/>
      <c r="ARZ46" s="80"/>
      <c r="ASA46" s="80"/>
      <c r="ASB46" s="80"/>
      <c r="ASC46" s="80"/>
      <c r="ASD46" s="80"/>
      <c r="ASE46" s="80"/>
      <c r="ASF46" s="80"/>
      <c r="ASG46" s="80"/>
      <c r="ASH46" s="80"/>
      <c r="ASI46" s="80"/>
      <c r="ASJ46" s="80"/>
      <c r="ASK46" s="80"/>
      <c r="ASL46" s="80"/>
      <c r="ASM46" s="80"/>
      <c r="ASN46" s="80"/>
      <c r="ASO46" s="80"/>
      <c r="ASP46" s="80"/>
      <c r="ASQ46" s="80"/>
      <c r="ASR46" s="80"/>
      <c r="ASS46" s="80"/>
      <c r="AST46" s="80"/>
      <c r="ASU46" s="80"/>
      <c r="ASV46" s="80"/>
      <c r="ASW46" s="80"/>
      <c r="ASX46" s="80"/>
      <c r="ASY46" s="80"/>
      <c r="ASZ46" s="80"/>
      <c r="ATA46" s="80"/>
      <c r="ATB46" s="80"/>
      <c r="ATC46" s="80"/>
      <c r="ATD46" s="80"/>
      <c r="ATE46" s="80"/>
      <c r="ATF46" s="80"/>
      <c r="ATG46" s="80"/>
      <c r="ATH46" s="80"/>
      <c r="ATI46" s="80"/>
      <c r="ATJ46" s="80"/>
      <c r="ATK46" s="80"/>
      <c r="ATL46" s="80"/>
      <c r="ATM46" s="80"/>
      <c r="ATN46" s="80"/>
      <c r="ATO46" s="80"/>
      <c r="ATP46" s="80"/>
      <c r="ATQ46" s="80"/>
      <c r="ATR46" s="80"/>
      <c r="ATS46" s="80"/>
      <c r="ATT46" s="80"/>
      <c r="ATU46" s="80"/>
      <c r="ATV46" s="80"/>
      <c r="ATW46" s="80"/>
      <c r="ATX46" s="80"/>
      <c r="ATY46" s="80"/>
      <c r="ATZ46" s="80"/>
      <c r="AUA46" s="80"/>
      <c r="AUB46" s="80"/>
      <c r="AUC46" s="80"/>
      <c r="AUD46" s="80"/>
      <c r="AUE46" s="80"/>
      <c r="AUF46" s="80"/>
      <c r="AUG46" s="80"/>
      <c r="AUH46" s="80"/>
      <c r="AUI46" s="80"/>
      <c r="AUJ46" s="80"/>
      <c r="AUK46" s="80"/>
      <c r="AUL46" s="80"/>
      <c r="AUM46" s="80"/>
      <c r="AUN46" s="80"/>
      <c r="AUO46" s="80"/>
      <c r="AUP46" s="80"/>
      <c r="AUQ46" s="80"/>
      <c r="AUR46" s="80"/>
      <c r="AUS46" s="80"/>
      <c r="AUT46" s="80"/>
      <c r="AUU46" s="80"/>
      <c r="AUV46" s="80"/>
      <c r="AUW46" s="80"/>
      <c r="AUX46" s="80"/>
      <c r="AUY46" s="80"/>
      <c r="AUZ46" s="80"/>
      <c r="AVA46" s="80"/>
      <c r="AVB46" s="80"/>
      <c r="AVC46" s="80"/>
      <c r="AVD46" s="80"/>
      <c r="AVE46" s="80"/>
      <c r="AVF46" s="80"/>
      <c r="AVG46" s="80"/>
      <c r="AVH46" s="80"/>
      <c r="AVI46" s="80"/>
      <c r="AVJ46" s="80"/>
      <c r="AVK46" s="80"/>
      <c r="AVL46" s="80"/>
      <c r="AVM46" s="80"/>
      <c r="AVN46" s="80"/>
      <c r="AVO46" s="80"/>
      <c r="AVP46" s="80"/>
      <c r="AVQ46" s="80"/>
      <c r="AVR46" s="80"/>
      <c r="AVS46" s="80"/>
      <c r="AVT46" s="80"/>
      <c r="AVU46" s="80"/>
      <c r="AVV46" s="80"/>
      <c r="AVW46" s="80"/>
      <c r="AVX46" s="80"/>
      <c r="AVY46" s="80"/>
      <c r="AVZ46" s="80"/>
      <c r="AWA46" s="80"/>
      <c r="AWB46" s="80"/>
      <c r="AWC46" s="80"/>
      <c r="AWD46" s="80"/>
      <c r="AWE46" s="80"/>
      <c r="AWF46" s="80"/>
      <c r="AWG46" s="80"/>
      <c r="AWH46" s="80"/>
      <c r="AWI46" s="80"/>
      <c r="AWJ46" s="80"/>
      <c r="AWK46" s="80"/>
      <c r="AWL46" s="80"/>
      <c r="AWM46" s="80"/>
      <c r="AWN46" s="80"/>
      <c r="AWO46" s="80"/>
      <c r="AWP46" s="80"/>
      <c r="AWQ46" s="80"/>
      <c r="AWR46" s="80"/>
      <c r="AWS46" s="80"/>
      <c r="AWT46" s="80"/>
      <c r="AWU46" s="80"/>
      <c r="AWV46" s="80"/>
      <c r="AWW46" s="80"/>
      <c r="AWX46" s="80"/>
      <c r="AWY46" s="80"/>
      <c r="AWZ46" s="80"/>
      <c r="AXA46" s="80"/>
      <c r="AXB46" s="80"/>
      <c r="AXC46" s="80"/>
      <c r="AXD46" s="80"/>
      <c r="AXE46" s="80"/>
      <c r="AXF46" s="80"/>
      <c r="AXG46" s="80"/>
      <c r="AXH46" s="80"/>
      <c r="AXI46" s="80"/>
      <c r="AXJ46" s="80"/>
      <c r="AXK46" s="80"/>
      <c r="AXL46" s="80"/>
      <c r="AXM46" s="80"/>
      <c r="AXN46" s="80"/>
      <c r="AXO46" s="80"/>
      <c r="AXP46" s="80"/>
      <c r="AXQ46" s="80"/>
      <c r="AXR46" s="80"/>
      <c r="AXS46" s="80"/>
      <c r="AXT46" s="80"/>
      <c r="AXU46" s="80"/>
      <c r="AXV46" s="80"/>
      <c r="AXW46" s="80"/>
      <c r="AXX46" s="80"/>
      <c r="AXY46" s="80"/>
      <c r="AXZ46" s="80"/>
      <c r="AYA46" s="80"/>
      <c r="AYB46" s="80"/>
      <c r="AYC46" s="80"/>
      <c r="AYD46" s="80"/>
      <c r="AYE46" s="80"/>
      <c r="AYF46" s="80"/>
      <c r="AYG46" s="80"/>
      <c r="AYH46" s="80"/>
      <c r="AYI46" s="80"/>
      <c r="AYJ46" s="80"/>
      <c r="AYK46" s="80"/>
      <c r="AYL46" s="80"/>
      <c r="AYM46" s="80"/>
      <c r="AYN46" s="80"/>
      <c r="AYO46" s="80"/>
      <c r="AYP46" s="80"/>
      <c r="AYQ46" s="80"/>
      <c r="AYR46" s="80"/>
      <c r="AYS46" s="80"/>
      <c r="AYT46" s="80"/>
      <c r="AYU46" s="80"/>
      <c r="AYV46" s="80"/>
      <c r="AYW46" s="80"/>
      <c r="AYX46" s="80"/>
      <c r="AYY46" s="80"/>
      <c r="AYZ46" s="80"/>
      <c r="AZA46" s="80"/>
      <c r="AZB46" s="80"/>
      <c r="AZC46" s="80"/>
      <c r="AZD46" s="80"/>
      <c r="AZE46" s="80"/>
      <c r="AZF46" s="80"/>
      <c r="AZG46" s="80"/>
      <c r="AZH46" s="80"/>
      <c r="AZI46" s="80"/>
      <c r="AZJ46" s="80"/>
      <c r="AZK46" s="80"/>
      <c r="AZL46" s="80"/>
      <c r="AZM46" s="80"/>
      <c r="AZN46" s="80"/>
      <c r="AZO46" s="80"/>
      <c r="AZP46" s="80"/>
      <c r="AZQ46" s="80"/>
      <c r="AZR46" s="80"/>
      <c r="AZS46" s="80"/>
      <c r="AZT46" s="80"/>
      <c r="AZU46" s="80"/>
      <c r="AZV46" s="80"/>
      <c r="AZW46" s="80"/>
      <c r="AZX46" s="80"/>
      <c r="AZY46" s="80"/>
      <c r="AZZ46" s="80"/>
      <c r="BAA46" s="80"/>
      <c r="BAB46" s="80"/>
      <c r="BAC46" s="80"/>
      <c r="BAD46" s="80"/>
      <c r="BAE46" s="80"/>
      <c r="BAF46" s="80"/>
      <c r="BAG46" s="80"/>
      <c r="BAH46" s="80"/>
      <c r="BAI46" s="80"/>
      <c r="BAJ46" s="80"/>
      <c r="BAK46" s="80"/>
      <c r="BAL46" s="80"/>
      <c r="BAM46" s="80"/>
      <c r="BAN46" s="80"/>
      <c r="BAO46" s="80"/>
      <c r="BAP46" s="80"/>
      <c r="BAQ46" s="80"/>
      <c r="BAR46" s="80"/>
      <c r="BAS46" s="80"/>
      <c r="BAT46" s="80"/>
      <c r="BAU46" s="80"/>
      <c r="BAV46" s="80"/>
      <c r="BAW46" s="80"/>
      <c r="BAX46" s="80"/>
      <c r="BAY46" s="80"/>
      <c r="BAZ46" s="80"/>
      <c r="BBA46" s="80"/>
      <c r="BBB46" s="80"/>
      <c r="BBC46" s="80"/>
      <c r="BBD46" s="80"/>
      <c r="BBE46" s="80"/>
      <c r="BBF46" s="80"/>
      <c r="BBG46" s="80"/>
      <c r="BBH46" s="80"/>
      <c r="BBI46" s="80"/>
      <c r="BBJ46" s="80"/>
      <c r="BBK46" s="80"/>
      <c r="BBL46" s="80"/>
      <c r="BBM46" s="80"/>
      <c r="BBN46" s="80"/>
      <c r="BBO46" s="80"/>
      <c r="BBP46" s="80"/>
      <c r="BBQ46" s="80"/>
      <c r="BBR46" s="80"/>
      <c r="BBS46" s="80"/>
      <c r="BBT46" s="80"/>
      <c r="BBU46" s="80"/>
      <c r="BBV46" s="80"/>
      <c r="BBW46" s="80"/>
      <c r="BBX46" s="80"/>
      <c r="BBY46" s="80"/>
      <c r="BBZ46" s="80"/>
      <c r="BCA46" s="80"/>
      <c r="BCB46" s="80"/>
      <c r="BCC46" s="80"/>
      <c r="BCD46" s="80"/>
      <c r="BCE46" s="80"/>
      <c r="BCF46" s="80"/>
      <c r="BCG46" s="80"/>
      <c r="BCH46" s="80"/>
      <c r="BCI46" s="80"/>
      <c r="BCJ46" s="80"/>
      <c r="BCK46" s="80"/>
      <c r="BCL46" s="80"/>
      <c r="BCM46" s="80"/>
      <c r="BCN46" s="80"/>
      <c r="BCO46" s="80"/>
      <c r="BCP46" s="80"/>
      <c r="BCQ46" s="80"/>
      <c r="BCR46" s="80"/>
      <c r="BCS46" s="80"/>
      <c r="BCT46" s="80"/>
      <c r="BCU46" s="80"/>
      <c r="BCV46" s="80"/>
      <c r="BCW46" s="80"/>
      <c r="BCX46" s="80"/>
      <c r="BCY46" s="80"/>
      <c r="BCZ46" s="80"/>
      <c r="BDA46" s="80"/>
      <c r="BDB46" s="80"/>
      <c r="BDC46" s="80"/>
      <c r="BDD46" s="80"/>
      <c r="BDE46" s="80"/>
      <c r="BDF46" s="80"/>
      <c r="BDG46" s="80"/>
      <c r="BDH46" s="80"/>
      <c r="BDI46" s="80"/>
      <c r="BDJ46" s="80"/>
      <c r="BDK46" s="80"/>
      <c r="BDL46" s="80"/>
      <c r="BDM46" s="80"/>
      <c r="BDN46" s="80"/>
      <c r="BDO46" s="80"/>
      <c r="BDP46" s="80"/>
      <c r="BDQ46" s="80"/>
      <c r="BDR46" s="80"/>
      <c r="BDS46" s="80"/>
      <c r="BDT46" s="80"/>
      <c r="BDU46" s="80"/>
      <c r="BDV46" s="80"/>
      <c r="BDW46" s="80"/>
      <c r="BDX46" s="80"/>
      <c r="BDY46" s="80"/>
      <c r="BDZ46" s="80"/>
      <c r="BEA46" s="80"/>
      <c r="BEB46" s="80"/>
      <c r="BEC46" s="80"/>
      <c r="BED46" s="80"/>
      <c r="BEE46" s="80"/>
      <c r="BEF46" s="80"/>
      <c r="BEG46" s="80"/>
      <c r="BEH46" s="80"/>
      <c r="BEI46" s="80"/>
      <c r="BEJ46" s="80"/>
      <c r="BEK46" s="80"/>
      <c r="BEL46" s="80"/>
      <c r="BEM46" s="80"/>
      <c r="BEN46" s="80"/>
      <c r="BEO46" s="80"/>
      <c r="BEP46" s="80"/>
      <c r="BEQ46" s="80"/>
      <c r="BER46" s="80"/>
      <c r="BES46" s="80"/>
      <c r="BET46" s="80"/>
      <c r="BEU46" s="80"/>
      <c r="BEV46" s="80"/>
      <c r="BEW46" s="80"/>
      <c r="BEX46" s="80"/>
      <c r="BEY46" s="80"/>
      <c r="BEZ46" s="80"/>
      <c r="BFA46" s="80"/>
      <c r="BFB46" s="80"/>
      <c r="BFC46" s="80"/>
      <c r="BFD46" s="80"/>
      <c r="BFE46" s="80"/>
      <c r="BFF46" s="80"/>
      <c r="BFG46" s="80"/>
      <c r="BFH46" s="80"/>
      <c r="BFI46" s="80"/>
      <c r="BFJ46" s="80"/>
      <c r="BFK46" s="80"/>
      <c r="BFL46" s="80"/>
      <c r="BFM46" s="80"/>
      <c r="BFN46" s="80"/>
      <c r="BFO46" s="80"/>
      <c r="BFP46" s="80"/>
      <c r="BFQ46" s="80"/>
      <c r="BFR46" s="80"/>
      <c r="BFS46" s="80"/>
      <c r="BFT46" s="80"/>
      <c r="BFU46" s="80"/>
      <c r="BFV46" s="80"/>
      <c r="BFW46" s="80"/>
      <c r="BFX46" s="80"/>
      <c r="BFY46" s="80"/>
      <c r="BFZ46" s="80"/>
      <c r="BGA46" s="80"/>
      <c r="BGB46" s="80"/>
      <c r="BGC46" s="80"/>
      <c r="BGD46" s="80"/>
      <c r="BGE46" s="80"/>
      <c r="BGF46" s="80"/>
      <c r="BGG46" s="80"/>
      <c r="BGH46" s="80"/>
      <c r="BGI46" s="80"/>
      <c r="BGJ46" s="80"/>
      <c r="BGK46" s="80"/>
      <c r="BGL46" s="80"/>
      <c r="BGM46" s="80"/>
      <c r="BGN46" s="80"/>
      <c r="BGO46" s="80"/>
      <c r="BGP46" s="80"/>
      <c r="BGQ46" s="80"/>
      <c r="BGR46" s="80"/>
      <c r="BGS46" s="80"/>
      <c r="BGT46" s="80"/>
      <c r="BGU46" s="80"/>
      <c r="BGV46" s="80"/>
      <c r="BGW46" s="80"/>
      <c r="BGX46" s="80"/>
      <c r="BGY46" s="80"/>
      <c r="BGZ46" s="80"/>
      <c r="BHA46" s="80"/>
      <c r="BHB46" s="80"/>
      <c r="BHC46" s="80"/>
      <c r="BHD46" s="80"/>
      <c r="BHE46" s="80"/>
      <c r="BHF46" s="80"/>
      <c r="BHG46" s="80"/>
      <c r="BHH46" s="80"/>
      <c r="BHI46" s="80"/>
      <c r="BHJ46" s="80"/>
      <c r="BHK46" s="80"/>
      <c r="BHL46" s="80"/>
      <c r="BHM46" s="80"/>
      <c r="BHN46" s="80"/>
      <c r="BHO46" s="80"/>
      <c r="BHP46" s="80"/>
      <c r="BHQ46" s="80"/>
      <c r="BHR46" s="80"/>
      <c r="BHS46" s="80"/>
      <c r="BHT46" s="80"/>
      <c r="BHU46" s="80"/>
      <c r="BHV46" s="80"/>
      <c r="BHW46" s="80"/>
      <c r="BHX46" s="80"/>
      <c r="BHY46" s="80"/>
      <c r="BHZ46" s="80"/>
      <c r="BIA46" s="80"/>
      <c r="BIB46" s="80"/>
      <c r="BIC46" s="80"/>
      <c r="BID46" s="80"/>
      <c r="BIE46" s="80"/>
      <c r="BIF46" s="80"/>
      <c r="BIG46" s="80"/>
      <c r="BIH46" s="80"/>
      <c r="BII46" s="80"/>
      <c r="BIJ46" s="80"/>
      <c r="BIK46" s="80"/>
      <c r="BIL46" s="80"/>
      <c r="BIM46" s="80"/>
      <c r="BIN46" s="80"/>
      <c r="BIO46" s="80"/>
      <c r="BIP46" s="80"/>
      <c r="BIQ46" s="80"/>
      <c r="BIR46" s="80"/>
      <c r="BIS46" s="80"/>
      <c r="BIT46" s="80"/>
      <c r="BIU46" s="80"/>
      <c r="BIV46" s="80"/>
      <c r="BIW46" s="80"/>
      <c r="BIX46" s="80"/>
      <c r="BIY46" s="80"/>
      <c r="BIZ46" s="80"/>
      <c r="BJA46" s="80"/>
      <c r="BJB46" s="80"/>
      <c r="BJC46" s="80"/>
      <c r="BJD46" s="80"/>
      <c r="BJE46" s="80"/>
      <c r="BJF46" s="80"/>
      <c r="BJG46" s="80"/>
      <c r="BJH46" s="80"/>
      <c r="BJI46" s="80"/>
      <c r="BJJ46" s="80"/>
      <c r="BJK46" s="80"/>
      <c r="BJL46" s="80"/>
      <c r="BJM46" s="80"/>
      <c r="BJN46" s="80"/>
      <c r="BJO46" s="80"/>
      <c r="BJP46" s="80"/>
      <c r="BJQ46" s="80"/>
      <c r="BJR46" s="80"/>
      <c r="BJS46" s="80"/>
      <c r="BJT46" s="80"/>
      <c r="BJU46" s="80"/>
      <c r="BJV46" s="80"/>
      <c r="BJW46" s="80"/>
      <c r="BJX46" s="80"/>
      <c r="BJY46" s="80"/>
      <c r="BJZ46" s="80"/>
      <c r="BKA46" s="80"/>
      <c r="BKB46" s="80"/>
      <c r="BKC46" s="80"/>
      <c r="BKD46" s="80"/>
      <c r="BKE46" s="80"/>
      <c r="BKF46" s="80"/>
      <c r="BKG46" s="80"/>
      <c r="BKH46" s="80"/>
      <c r="BKI46" s="80"/>
      <c r="BKJ46" s="80"/>
      <c r="BKK46" s="80"/>
      <c r="BKL46" s="80"/>
      <c r="BKM46" s="80"/>
      <c r="BKN46" s="80"/>
      <c r="BKO46" s="80"/>
      <c r="BKP46" s="80"/>
      <c r="BKQ46" s="80"/>
      <c r="BKR46" s="80"/>
      <c r="BKS46" s="80"/>
      <c r="BKT46" s="80"/>
      <c r="BKU46" s="80"/>
      <c r="BKV46" s="80"/>
      <c r="BKW46" s="80"/>
      <c r="BKX46" s="80"/>
      <c r="BKY46" s="80"/>
      <c r="BKZ46" s="80"/>
      <c r="BLA46" s="80"/>
      <c r="BLB46" s="80"/>
      <c r="BLC46" s="80"/>
      <c r="BLD46" s="80"/>
      <c r="BLE46" s="80"/>
      <c r="BLF46" s="80"/>
      <c r="BLG46" s="80"/>
      <c r="BLH46" s="80"/>
      <c r="BLI46" s="80"/>
      <c r="BLJ46" s="80"/>
      <c r="BLK46" s="80"/>
      <c r="BLL46" s="80"/>
      <c r="BLM46" s="80"/>
      <c r="BLN46" s="80"/>
      <c r="BLO46" s="80"/>
      <c r="BLP46" s="80"/>
      <c r="BLQ46" s="80"/>
      <c r="BLR46" s="80"/>
      <c r="BLS46" s="80"/>
      <c r="BLT46" s="80"/>
      <c r="BLU46" s="80"/>
      <c r="BLV46" s="80"/>
      <c r="BLW46" s="80"/>
      <c r="BLX46" s="80"/>
      <c r="BLY46" s="80"/>
      <c r="BLZ46" s="80"/>
      <c r="BMA46" s="80"/>
      <c r="BMB46" s="80"/>
      <c r="BMC46" s="80"/>
      <c r="BMD46" s="80"/>
      <c r="BME46" s="80"/>
      <c r="BMF46" s="80"/>
      <c r="BMG46" s="80"/>
      <c r="BMH46" s="80"/>
      <c r="BMI46" s="80"/>
      <c r="BMJ46" s="80"/>
      <c r="BMK46" s="80"/>
      <c r="BML46" s="80"/>
      <c r="BMM46" s="80"/>
      <c r="BMN46" s="80"/>
      <c r="BMO46" s="80"/>
      <c r="BMP46" s="80"/>
      <c r="BMQ46" s="80"/>
      <c r="BMR46" s="80"/>
      <c r="BMS46" s="80"/>
      <c r="BMT46" s="80"/>
      <c r="BMU46" s="80"/>
      <c r="BMV46" s="80"/>
      <c r="BMW46" s="80"/>
      <c r="BMX46" s="80"/>
      <c r="BMY46" s="80"/>
      <c r="BMZ46" s="80"/>
      <c r="BNA46" s="80"/>
      <c r="BNB46" s="80"/>
      <c r="BNC46" s="80"/>
      <c r="BND46" s="80"/>
      <c r="BNE46" s="80"/>
      <c r="BNF46" s="80"/>
      <c r="BNG46" s="80"/>
      <c r="BNH46" s="80"/>
      <c r="BNI46" s="80"/>
      <c r="BNJ46" s="80"/>
      <c r="BNK46" s="80"/>
      <c r="BNL46" s="80"/>
      <c r="BNM46" s="80"/>
      <c r="BNN46" s="80"/>
      <c r="BNO46" s="80"/>
      <c r="BNP46" s="80"/>
      <c r="BNQ46" s="80"/>
      <c r="BNR46" s="80"/>
      <c r="BNS46" s="80"/>
      <c r="BNT46" s="80"/>
      <c r="BNU46" s="80"/>
      <c r="BNV46" s="80"/>
      <c r="BNW46" s="80"/>
      <c r="BNX46" s="80"/>
      <c r="BNY46" s="80"/>
      <c r="BNZ46" s="80"/>
      <c r="BOA46" s="80"/>
      <c r="BOB46" s="80"/>
      <c r="BOC46" s="80"/>
      <c r="BOD46" s="80"/>
      <c r="BOE46" s="80"/>
      <c r="BOF46" s="80"/>
      <c r="BOG46" s="80"/>
      <c r="BOH46" s="80"/>
      <c r="BOI46" s="80"/>
      <c r="BOJ46" s="80"/>
      <c r="BOK46" s="80"/>
      <c r="BOL46" s="80"/>
      <c r="BOM46" s="80"/>
      <c r="BON46" s="80"/>
      <c r="BOO46" s="80"/>
      <c r="BOP46" s="80"/>
      <c r="BOQ46" s="80"/>
      <c r="BOR46" s="80"/>
      <c r="BOS46" s="80"/>
      <c r="BOT46" s="80"/>
      <c r="BOU46" s="80"/>
      <c r="BOV46" s="80"/>
      <c r="BOW46" s="80"/>
      <c r="BOX46" s="80"/>
      <c r="BOY46" s="80"/>
      <c r="BOZ46" s="80"/>
      <c r="BPA46" s="80"/>
      <c r="BPB46" s="80"/>
      <c r="BPC46" s="80"/>
      <c r="BPD46" s="80"/>
      <c r="BPE46" s="80"/>
      <c r="BPF46" s="80"/>
      <c r="BPG46" s="80"/>
      <c r="BPH46" s="80"/>
      <c r="BPI46" s="80"/>
      <c r="BPJ46" s="80"/>
      <c r="BPK46" s="80"/>
      <c r="BPL46" s="80"/>
      <c r="BPM46" s="80"/>
      <c r="BPN46" s="80"/>
      <c r="BPO46" s="80"/>
      <c r="BPP46" s="80"/>
      <c r="BPQ46" s="80"/>
      <c r="BPR46" s="80"/>
      <c r="BPS46" s="80"/>
      <c r="BPT46" s="80"/>
      <c r="BPU46" s="80"/>
      <c r="BPV46" s="80"/>
      <c r="BPW46" s="80"/>
      <c r="BPX46" s="80"/>
      <c r="BPY46" s="80"/>
      <c r="BPZ46" s="80"/>
      <c r="BQA46" s="80"/>
      <c r="BQB46" s="80"/>
      <c r="BQC46" s="80"/>
      <c r="BQD46" s="80"/>
      <c r="BQE46" s="80"/>
      <c r="BQF46" s="80"/>
      <c r="BQG46" s="80"/>
      <c r="BQH46" s="80"/>
      <c r="BQI46" s="80"/>
      <c r="BQJ46" s="80"/>
      <c r="BQK46" s="80"/>
      <c r="BQL46" s="80"/>
      <c r="BQM46" s="80"/>
      <c r="BQN46" s="80"/>
      <c r="BQO46" s="80"/>
      <c r="BQP46" s="80"/>
      <c r="BQQ46" s="80"/>
      <c r="BQR46" s="80"/>
      <c r="BQS46" s="80"/>
      <c r="BQT46" s="80"/>
      <c r="BQU46" s="80"/>
      <c r="BQV46" s="80"/>
      <c r="BQW46" s="80"/>
      <c r="BQX46" s="80"/>
      <c r="BQY46" s="80"/>
      <c r="BQZ46" s="80"/>
      <c r="BRA46" s="80"/>
      <c r="BRB46" s="80"/>
      <c r="BRC46" s="80"/>
      <c r="BRD46" s="80"/>
      <c r="BRE46" s="80"/>
      <c r="BRF46" s="80"/>
      <c r="BRG46" s="80"/>
      <c r="BRH46" s="80"/>
      <c r="BRI46" s="80"/>
      <c r="BRJ46" s="80"/>
      <c r="BRK46" s="80"/>
      <c r="BRL46" s="80"/>
      <c r="BRM46" s="80"/>
      <c r="BRN46" s="80"/>
      <c r="BRO46" s="80"/>
      <c r="BRP46" s="80"/>
      <c r="BRQ46" s="80"/>
      <c r="BRR46" s="80"/>
      <c r="BRS46" s="80"/>
      <c r="BRT46" s="80"/>
      <c r="BRU46" s="80"/>
      <c r="BRV46" s="80"/>
      <c r="BRW46" s="80"/>
      <c r="BRX46" s="80"/>
      <c r="BRY46" s="80"/>
      <c r="BRZ46" s="80"/>
      <c r="BSA46" s="80"/>
      <c r="BSB46" s="80"/>
      <c r="BSC46" s="80"/>
      <c r="BSD46" s="80"/>
      <c r="BSE46" s="80"/>
      <c r="BSF46" s="80"/>
      <c r="BSG46" s="80"/>
      <c r="BSH46" s="80"/>
      <c r="BSI46" s="80"/>
      <c r="BSJ46" s="80"/>
      <c r="BSK46" s="80"/>
      <c r="BSL46" s="80"/>
      <c r="BSM46" s="80"/>
      <c r="BSN46" s="80"/>
      <c r="BSO46" s="80"/>
      <c r="BSP46" s="80"/>
      <c r="BSQ46" s="80"/>
      <c r="BSR46" s="80"/>
      <c r="BSS46" s="80"/>
      <c r="BST46" s="80"/>
      <c r="BSU46" s="80"/>
      <c r="BSV46" s="80"/>
      <c r="BSW46" s="80"/>
      <c r="BSX46" s="80"/>
      <c r="BSY46" s="80"/>
      <c r="BSZ46" s="80"/>
      <c r="BTA46" s="80"/>
      <c r="BTB46" s="80"/>
      <c r="BTC46" s="80"/>
      <c r="BTD46" s="80"/>
      <c r="BTE46" s="80"/>
      <c r="BTF46" s="80"/>
      <c r="BTG46" s="80"/>
      <c r="BTH46" s="80"/>
      <c r="BTI46" s="80"/>
      <c r="BTJ46" s="80"/>
      <c r="BTK46" s="80"/>
      <c r="BTL46" s="80"/>
      <c r="BTM46" s="80"/>
      <c r="BTN46" s="80"/>
      <c r="BTO46" s="80"/>
      <c r="BTP46" s="80"/>
      <c r="BTQ46" s="80"/>
      <c r="BTR46" s="80"/>
      <c r="BTS46" s="80"/>
      <c r="BTT46" s="80"/>
      <c r="BTU46" s="80"/>
      <c r="BTV46" s="80"/>
      <c r="BTW46" s="80"/>
      <c r="BTX46" s="80"/>
      <c r="BTY46" s="80"/>
      <c r="BTZ46" s="80"/>
      <c r="BUA46" s="80"/>
      <c r="BUB46" s="80"/>
      <c r="BUC46" s="80"/>
      <c r="BUD46" s="80"/>
      <c r="BUE46" s="80"/>
      <c r="BUF46" s="80"/>
      <c r="BUG46" s="80"/>
      <c r="BUH46" s="80"/>
      <c r="BUI46" s="80"/>
      <c r="BUJ46" s="80"/>
      <c r="BUK46" s="80"/>
      <c r="BUL46" s="80"/>
      <c r="BUM46" s="80"/>
      <c r="BUN46" s="80"/>
      <c r="BUO46" s="80"/>
      <c r="BUP46" s="80"/>
      <c r="BUQ46" s="80"/>
      <c r="BUR46" s="80"/>
      <c r="BUS46" s="80"/>
      <c r="BUT46" s="80"/>
      <c r="BUU46" s="80"/>
      <c r="BUV46" s="80"/>
      <c r="BUW46" s="80"/>
      <c r="BUX46" s="80"/>
      <c r="BUY46" s="80"/>
      <c r="BUZ46" s="80"/>
      <c r="BVA46" s="80"/>
      <c r="BVB46" s="80"/>
      <c r="BVC46" s="80"/>
      <c r="BVD46" s="80"/>
      <c r="BVE46" s="80"/>
      <c r="BVF46" s="80"/>
      <c r="BVG46" s="80"/>
      <c r="BVH46" s="80"/>
      <c r="BVI46" s="80"/>
      <c r="BVJ46" s="80"/>
      <c r="BVK46" s="80"/>
      <c r="BVL46" s="80"/>
      <c r="BVM46" s="80"/>
      <c r="BVN46" s="80"/>
      <c r="BVO46" s="80"/>
      <c r="BVP46" s="80"/>
      <c r="BVQ46" s="80"/>
      <c r="BVR46" s="80"/>
      <c r="BVS46" s="80"/>
      <c r="BVT46" s="80"/>
      <c r="BVU46" s="80"/>
      <c r="BVV46" s="80"/>
      <c r="BVW46" s="80"/>
      <c r="BVX46" s="80"/>
      <c r="BVY46" s="80"/>
      <c r="BVZ46" s="80"/>
      <c r="BWA46" s="80"/>
      <c r="BWB46" s="80"/>
      <c r="BWC46" s="80"/>
      <c r="BWD46" s="80"/>
      <c r="BWE46" s="80"/>
      <c r="BWF46" s="80"/>
      <c r="BWG46" s="80"/>
      <c r="BWH46" s="80"/>
      <c r="BWI46" s="80"/>
      <c r="BWJ46" s="80"/>
      <c r="BWK46" s="80"/>
      <c r="BWL46" s="80"/>
      <c r="BWM46" s="80"/>
      <c r="BWN46" s="80"/>
      <c r="BWO46" s="80"/>
      <c r="BWP46" s="80"/>
      <c r="BWQ46" s="80"/>
      <c r="BWR46" s="80"/>
      <c r="BWS46" s="80"/>
      <c r="BWT46" s="80"/>
      <c r="BWU46" s="80"/>
      <c r="BWV46" s="80"/>
      <c r="BWW46" s="80"/>
      <c r="BWX46" s="80"/>
      <c r="BWY46" s="80"/>
      <c r="BWZ46" s="80"/>
      <c r="BXA46" s="80"/>
      <c r="BXB46" s="80"/>
      <c r="BXC46" s="80"/>
      <c r="BXD46" s="80"/>
      <c r="BXE46" s="80"/>
      <c r="BXF46" s="80"/>
      <c r="BXG46" s="80"/>
      <c r="BXH46" s="80"/>
      <c r="BXI46" s="80"/>
      <c r="BXJ46" s="80"/>
      <c r="BXK46" s="80"/>
      <c r="BXL46" s="80"/>
      <c r="BXM46" s="80"/>
      <c r="BXN46" s="80"/>
      <c r="BXO46" s="80"/>
      <c r="BXP46" s="80"/>
      <c r="BXQ46" s="80"/>
      <c r="BXR46" s="80"/>
      <c r="BXS46" s="80"/>
      <c r="BXT46" s="80"/>
      <c r="BXU46" s="80"/>
      <c r="BXV46" s="80"/>
      <c r="BXW46" s="80"/>
      <c r="BXX46" s="80"/>
      <c r="BXY46" s="80"/>
      <c r="BXZ46" s="80"/>
      <c r="BYA46" s="80"/>
      <c r="BYB46" s="80"/>
      <c r="BYC46" s="80"/>
      <c r="BYD46" s="80"/>
      <c r="BYE46" s="80"/>
      <c r="BYF46" s="80"/>
      <c r="BYG46" s="80"/>
      <c r="BYH46" s="80"/>
      <c r="BYI46" s="80"/>
      <c r="BYJ46" s="80"/>
      <c r="BYK46" s="80"/>
      <c r="BYL46" s="80"/>
      <c r="BYM46" s="80"/>
      <c r="BYN46" s="80"/>
      <c r="BYO46" s="80"/>
      <c r="BYP46" s="80"/>
      <c r="BYQ46" s="80"/>
      <c r="BYR46" s="80"/>
      <c r="BYS46" s="80"/>
      <c r="BYT46" s="80"/>
      <c r="BYU46" s="80"/>
      <c r="BYV46" s="80"/>
      <c r="BYW46" s="80"/>
      <c r="BYX46" s="80"/>
      <c r="BYY46" s="80"/>
      <c r="BYZ46" s="80"/>
      <c r="BZA46" s="80"/>
      <c r="BZB46" s="80"/>
      <c r="BZC46" s="80"/>
      <c r="BZD46" s="80"/>
      <c r="BZE46" s="80"/>
      <c r="BZF46" s="80"/>
      <c r="BZG46" s="80"/>
      <c r="BZH46" s="80"/>
      <c r="BZI46" s="80"/>
      <c r="BZJ46" s="80"/>
      <c r="BZK46" s="80"/>
      <c r="BZL46" s="80"/>
      <c r="BZM46" s="80"/>
      <c r="BZN46" s="80"/>
      <c r="BZO46" s="80"/>
      <c r="BZP46" s="80"/>
      <c r="BZQ46" s="80"/>
      <c r="BZR46" s="80"/>
      <c r="BZS46" s="80"/>
      <c r="BZT46" s="80"/>
      <c r="BZU46" s="80"/>
      <c r="BZV46" s="80"/>
      <c r="BZW46" s="80"/>
      <c r="BZX46" s="80"/>
      <c r="BZY46" s="80"/>
      <c r="BZZ46" s="80"/>
      <c r="CAA46" s="80"/>
      <c r="CAB46" s="80"/>
      <c r="CAC46" s="80"/>
      <c r="CAD46" s="80"/>
      <c r="CAE46" s="80"/>
      <c r="CAF46" s="80"/>
      <c r="CAG46" s="80"/>
      <c r="CAH46" s="80"/>
      <c r="CAI46" s="80"/>
      <c r="CAJ46" s="80"/>
      <c r="CAK46" s="80"/>
      <c r="CAL46" s="80"/>
      <c r="CAM46" s="80"/>
      <c r="CAN46" s="80"/>
      <c r="CAO46" s="80"/>
      <c r="CAP46" s="80"/>
      <c r="CAQ46" s="80"/>
      <c r="CAR46" s="80"/>
      <c r="CAS46" s="80"/>
      <c r="CAT46" s="80"/>
      <c r="CAU46" s="80"/>
      <c r="CAV46" s="80"/>
      <c r="CAW46" s="80"/>
      <c r="CAX46" s="80"/>
      <c r="CAY46" s="80"/>
      <c r="CAZ46" s="80"/>
      <c r="CBA46" s="80"/>
      <c r="CBB46" s="80"/>
      <c r="CBC46" s="80"/>
      <c r="CBD46" s="80"/>
      <c r="CBE46" s="80"/>
      <c r="CBF46" s="80"/>
      <c r="CBG46" s="80"/>
      <c r="CBH46" s="80"/>
      <c r="CBI46" s="80"/>
      <c r="CBJ46" s="80"/>
      <c r="CBK46" s="80"/>
      <c r="CBL46" s="80"/>
      <c r="CBM46" s="80"/>
      <c r="CBN46" s="80"/>
      <c r="CBO46" s="80"/>
      <c r="CBP46" s="80"/>
      <c r="CBQ46" s="80"/>
      <c r="CBR46" s="80"/>
      <c r="CBS46" s="80"/>
      <c r="CBT46" s="80"/>
      <c r="CBU46" s="80"/>
      <c r="CBV46" s="80"/>
      <c r="CBW46" s="80"/>
      <c r="CBX46" s="80"/>
      <c r="CBY46" s="80"/>
      <c r="CBZ46" s="80"/>
      <c r="CCA46" s="80"/>
      <c r="CCB46" s="80"/>
      <c r="CCC46" s="80"/>
      <c r="CCD46" s="80"/>
      <c r="CCE46" s="80"/>
      <c r="CCF46" s="80"/>
      <c r="CCG46" s="80"/>
      <c r="CCH46" s="80"/>
      <c r="CCI46" s="80"/>
      <c r="CCJ46" s="80"/>
      <c r="CCK46" s="80"/>
      <c r="CCL46" s="80"/>
      <c r="CCM46" s="80"/>
      <c r="CCN46" s="80"/>
      <c r="CCO46" s="80"/>
      <c r="CCP46" s="80"/>
      <c r="CCQ46" s="80"/>
      <c r="CCR46" s="80"/>
      <c r="CCS46" s="80"/>
      <c r="CCT46" s="80"/>
      <c r="CCU46" s="80"/>
      <c r="CCV46" s="80"/>
      <c r="CCW46" s="80"/>
      <c r="CCX46" s="80"/>
      <c r="CCY46" s="80"/>
      <c r="CCZ46" s="80"/>
      <c r="CDA46" s="80"/>
      <c r="CDB46" s="80"/>
      <c r="CDC46" s="80"/>
      <c r="CDD46" s="80"/>
      <c r="CDE46" s="80"/>
      <c r="CDF46" s="80"/>
      <c r="CDG46" s="80"/>
      <c r="CDH46" s="80"/>
      <c r="CDI46" s="80"/>
      <c r="CDJ46" s="80"/>
      <c r="CDK46" s="80"/>
      <c r="CDL46" s="80"/>
      <c r="CDM46" s="80"/>
      <c r="CDN46" s="80"/>
      <c r="CDO46" s="80"/>
      <c r="CDP46" s="80"/>
      <c r="CDQ46" s="80"/>
      <c r="CDR46" s="80"/>
      <c r="CDS46" s="80"/>
      <c r="CDT46" s="80"/>
      <c r="CDU46" s="80"/>
      <c r="CDV46" s="80"/>
      <c r="CDW46" s="80"/>
      <c r="CDX46" s="80"/>
      <c r="CDY46" s="80"/>
      <c r="CDZ46" s="80"/>
      <c r="CEA46" s="80"/>
      <c r="CEB46" s="80"/>
      <c r="CEC46" s="80"/>
      <c r="CED46" s="80"/>
      <c r="CEE46" s="80"/>
      <c r="CEF46" s="80"/>
      <c r="CEG46" s="80"/>
      <c r="CEH46" s="80"/>
      <c r="CEI46" s="80"/>
      <c r="CEJ46" s="80"/>
      <c r="CEK46" s="80"/>
      <c r="CEL46" s="80"/>
      <c r="CEM46" s="80"/>
      <c r="CEN46" s="80"/>
      <c r="CEO46" s="80"/>
      <c r="CEP46" s="80"/>
      <c r="CEQ46" s="80"/>
      <c r="CER46" s="80"/>
      <c r="CES46" s="80"/>
      <c r="CET46" s="80"/>
      <c r="CEU46" s="80"/>
      <c r="CEV46" s="80"/>
      <c r="CEW46" s="80"/>
      <c r="CEX46" s="80"/>
      <c r="CEY46" s="80"/>
      <c r="CEZ46" s="80"/>
      <c r="CFA46" s="80"/>
      <c r="CFB46" s="80"/>
      <c r="CFC46" s="80"/>
      <c r="CFD46" s="80"/>
      <c r="CFE46" s="80"/>
      <c r="CFF46" s="80"/>
      <c r="CFG46" s="80"/>
      <c r="CFH46" s="80"/>
      <c r="CFI46" s="80"/>
      <c r="CFJ46" s="80"/>
      <c r="CFK46" s="80"/>
      <c r="CFL46" s="80"/>
      <c r="CFM46" s="80"/>
      <c r="CFN46" s="80"/>
      <c r="CFO46" s="80"/>
      <c r="CFP46" s="80"/>
      <c r="CFQ46" s="80"/>
      <c r="CFR46" s="80"/>
      <c r="CFS46" s="80"/>
      <c r="CFT46" s="80"/>
      <c r="CFU46" s="80"/>
      <c r="CFV46" s="80"/>
      <c r="CFW46" s="80"/>
      <c r="CFX46" s="80"/>
      <c r="CFY46" s="80"/>
      <c r="CFZ46" s="80"/>
      <c r="CGA46" s="80"/>
      <c r="CGB46" s="80"/>
      <c r="CGC46" s="80"/>
      <c r="CGD46" s="80"/>
      <c r="CGE46" s="80"/>
      <c r="CGF46" s="80"/>
      <c r="CGG46" s="80"/>
      <c r="CGH46" s="80"/>
      <c r="CGI46" s="80"/>
      <c r="CGJ46" s="80"/>
      <c r="CGK46" s="80"/>
      <c r="CGL46" s="80"/>
      <c r="CGM46" s="80"/>
      <c r="CGN46" s="80"/>
      <c r="CGO46" s="80"/>
      <c r="CGP46" s="80"/>
      <c r="CGQ46" s="80"/>
      <c r="CGR46" s="80"/>
      <c r="CGS46" s="80"/>
      <c r="CGT46" s="80"/>
      <c r="CGU46" s="80"/>
      <c r="CGV46" s="80"/>
      <c r="CGW46" s="80"/>
      <c r="CGX46" s="80"/>
      <c r="CGY46" s="80"/>
      <c r="CGZ46" s="80"/>
      <c r="CHA46" s="80"/>
      <c r="CHB46" s="80"/>
      <c r="CHC46" s="80"/>
      <c r="CHD46" s="80"/>
      <c r="CHE46" s="80"/>
      <c r="CHF46" s="80"/>
      <c r="CHG46" s="80"/>
      <c r="CHH46" s="80"/>
      <c r="CHI46" s="80"/>
      <c r="CHJ46" s="80"/>
      <c r="CHK46" s="80"/>
      <c r="CHL46" s="80"/>
      <c r="CHM46" s="80"/>
      <c r="CHN46" s="80"/>
      <c r="CHO46" s="80"/>
      <c r="CHP46" s="80"/>
      <c r="CHQ46" s="80"/>
      <c r="CHR46" s="80"/>
      <c r="CHS46" s="80"/>
      <c r="CHT46" s="80"/>
      <c r="CHU46" s="80"/>
      <c r="CHV46" s="80"/>
      <c r="CHW46" s="80"/>
      <c r="CHX46" s="80"/>
      <c r="CHY46" s="80"/>
      <c r="CHZ46" s="80"/>
      <c r="CIA46" s="80"/>
      <c r="CIB46" s="80"/>
      <c r="CIC46" s="80"/>
      <c r="CID46" s="80"/>
      <c r="CIE46" s="80"/>
      <c r="CIF46" s="80"/>
      <c r="CIG46" s="80"/>
      <c r="CIH46" s="80"/>
      <c r="CII46" s="80"/>
      <c r="CIJ46" s="80"/>
      <c r="CIK46" s="80"/>
      <c r="CIL46" s="80"/>
      <c r="CIM46" s="80"/>
      <c r="CIN46" s="80"/>
      <c r="CIO46" s="80"/>
      <c r="CIP46" s="80"/>
      <c r="CIQ46" s="80"/>
      <c r="CIR46" s="80"/>
      <c r="CIS46" s="80"/>
      <c r="CIT46" s="80"/>
      <c r="CIU46" s="80"/>
      <c r="CIV46" s="80"/>
      <c r="CIW46" s="80"/>
      <c r="CIX46" s="80"/>
      <c r="CIY46" s="80"/>
      <c r="CIZ46" s="80"/>
      <c r="CJA46" s="80"/>
      <c r="CJB46" s="80"/>
      <c r="CJC46" s="80"/>
      <c r="CJD46" s="80"/>
      <c r="CJE46" s="80"/>
      <c r="CJF46" s="80"/>
      <c r="CJG46" s="80"/>
      <c r="CJH46" s="80"/>
      <c r="CJI46" s="80"/>
      <c r="CJJ46" s="80"/>
      <c r="CJK46" s="80"/>
      <c r="CJL46" s="80"/>
      <c r="CJM46" s="80"/>
      <c r="CJN46" s="80"/>
      <c r="CJO46" s="80"/>
      <c r="CJP46" s="80"/>
      <c r="CJQ46" s="80"/>
      <c r="CJR46" s="80"/>
      <c r="CJS46" s="80"/>
      <c r="CJT46" s="80"/>
      <c r="CJU46" s="80"/>
      <c r="CJV46" s="80"/>
      <c r="CJW46" s="80"/>
      <c r="CJX46" s="80"/>
      <c r="CJY46" s="80"/>
      <c r="CJZ46" s="80"/>
      <c r="CKA46" s="80"/>
      <c r="CKB46" s="80"/>
      <c r="CKC46" s="80"/>
      <c r="CKD46" s="80"/>
      <c r="CKE46" s="80"/>
      <c r="CKF46" s="80"/>
      <c r="CKG46" s="80"/>
      <c r="CKH46" s="80"/>
      <c r="CKI46" s="80"/>
      <c r="CKJ46" s="80"/>
      <c r="CKK46" s="80"/>
      <c r="CKL46" s="80"/>
      <c r="CKM46" s="80"/>
      <c r="CKN46" s="80"/>
      <c r="CKO46" s="80"/>
      <c r="CKP46" s="80"/>
      <c r="CKQ46" s="80"/>
      <c r="CKR46" s="80"/>
      <c r="CKS46" s="80"/>
      <c r="CKT46" s="80"/>
      <c r="CKU46" s="80"/>
      <c r="CKV46" s="80"/>
      <c r="CKW46" s="80"/>
      <c r="CKX46" s="80"/>
      <c r="CKY46" s="80"/>
      <c r="CKZ46" s="80"/>
      <c r="CLA46" s="80"/>
      <c r="CLB46" s="80"/>
      <c r="CLC46" s="80"/>
      <c r="CLD46" s="80"/>
      <c r="CLE46" s="80"/>
      <c r="CLF46" s="80"/>
      <c r="CLG46" s="80"/>
      <c r="CLH46" s="80"/>
      <c r="CLI46" s="80"/>
      <c r="CLJ46" s="80"/>
      <c r="CLK46" s="80"/>
      <c r="CLL46" s="80"/>
      <c r="CLM46" s="80"/>
      <c r="CLN46" s="80"/>
      <c r="CLO46" s="80"/>
      <c r="CLP46" s="80"/>
      <c r="CLQ46" s="80"/>
      <c r="CLR46" s="80"/>
      <c r="CLS46" s="80"/>
      <c r="CLT46" s="80"/>
      <c r="CLU46" s="80"/>
      <c r="CLV46" s="80"/>
      <c r="CLW46" s="80"/>
      <c r="CLX46" s="80"/>
      <c r="CLY46" s="80"/>
      <c r="CLZ46" s="80"/>
      <c r="CMA46" s="80"/>
      <c r="CMB46" s="80"/>
      <c r="CMC46" s="80"/>
      <c r="CMD46" s="80"/>
      <c r="CME46" s="80"/>
      <c r="CMF46" s="80"/>
      <c r="CMG46" s="80"/>
      <c r="CMH46" s="80"/>
      <c r="CMI46" s="80"/>
      <c r="CMJ46" s="80"/>
      <c r="CMK46" s="80"/>
      <c r="CML46" s="80"/>
      <c r="CMM46" s="80"/>
      <c r="CMN46" s="80"/>
      <c r="CMO46" s="80"/>
      <c r="CMP46" s="80"/>
      <c r="CMQ46" s="80"/>
      <c r="CMR46" s="80"/>
      <c r="CMS46" s="80"/>
      <c r="CMT46" s="80"/>
      <c r="CMU46" s="80"/>
      <c r="CMV46" s="80"/>
      <c r="CMW46" s="80"/>
      <c r="CMX46" s="80"/>
      <c r="CMY46" s="80"/>
      <c r="CMZ46" s="80"/>
      <c r="CNA46" s="80"/>
      <c r="CNB46" s="80"/>
      <c r="CNC46" s="80"/>
      <c r="CND46" s="80"/>
      <c r="CNE46" s="80"/>
      <c r="CNF46" s="80"/>
      <c r="CNG46" s="80"/>
      <c r="CNH46" s="80"/>
      <c r="CNI46" s="80"/>
      <c r="CNJ46" s="80"/>
      <c r="CNK46" s="80"/>
      <c r="CNL46" s="80"/>
      <c r="CNM46" s="80"/>
      <c r="CNN46" s="80"/>
      <c r="CNO46" s="80"/>
      <c r="CNP46" s="80"/>
      <c r="CNQ46" s="80"/>
      <c r="CNR46" s="80"/>
      <c r="CNS46" s="80"/>
      <c r="CNT46" s="80"/>
      <c r="CNU46" s="80"/>
      <c r="CNV46" s="80"/>
      <c r="CNW46" s="80"/>
      <c r="CNX46" s="80"/>
      <c r="CNY46" s="80"/>
      <c r="CNZ46" s="80"/>
      <c r="COA46" s="80"/>
      <c r="COB46" s="80"/>
      <c r="COC46" s="80"/>
      <c r="COD46" s="80"/>
      <c r="COE46" s="80"/>
      <c r="COF46" s="80"/>
      <c r="COG46" s="80"/>
      <c r="COH46" s="80"/>
      <c r="COI46" s="80"/>
      <c r="COJ46" s="80"/>
      <c r="COK46" s="80"/>
      <c r="COL46" s="80"/>
      <c r="COM46" s="80"/>
      <c r="CON46" s="80"/>
      <c r="COO46" s="80"/>
      <c r="COP46" s="80"/>
      <c r="COQ46" s="80"/>
      <c r="COR46" s="80"/>
      <c r="COS46" s="80"/>
      <c r="COT46" s="80"/>
      <c r="COU46" s="80"/>
      <c r="COV46" s="80"/>
      <c r="COW46" s="80"/>
      <c r="COX46" s="80"/>
      <c r="COY46" s="80"/>
      <c r="COZ46" s="80"/>
      <c r="CPA46" s="80"/>
      <c r="CPB46" s="80"/>
      <c r="CPC46" s="80"/>
      <c r="CPD46" s="80"/>
      <c r="CPE46" s="80"/>
      <c r="CPF46" s="80"/>
      <c r="CPG46" s="80"/>
      <c r="CPH46" s="80"/>
      <c r="CPI46" s="80"/>
      <c r="CPJ46" s="80"/>
      <c r="CPK46" s="80"/>
      <c r="CPL46" s="80"/>
      <c r="CPM46" s="80"/>
      <c r="CPN46" s="80"/>
      <c r="CPO46" s="80"/>
      <c r="CPP46" s="80"/>
      <c r="CPQ46" s="80"/>
      <c r="CPR46" s="80"/>
      <c r="CPS46" s="80"/>
      <c r="CPT46" s="80"/>
      <c r="CPU46" s="80"/>
      <c r="CPV46" s="80"/>
      <c r="CPW46" s="80"/>
      <c r="CPX46" s="80"/>
      <c r="CPY46" s="80"/>
      <c r="CPZ46" s="80"/>
      <c r="CQA46" s="80"/>
      <c r="CQB46" s="80"/>
      <c r="CQC46" s="80"/>
      <c r="CQD46" s="80"/>
      <c r="CQE46" s="80"/>
      <c r="CQF46" s="80"/>
      <c r="CQG46" s="80"/>
      <c r="CQH46" s="80"/>
      <c r="CQI46" s="80"/>
      <c r="CQJ46" s="80"/>
      <c r="CQK46" s="80"/>
      <c r="CQL46" s="80"/>
      <c r="CQM46" s="80"/>
      <c r="CQN46" s="80"/>
      <c r="CQO46" s="80"/>
      <c r="CQP46" s="80"/>
      <c r="CQQ46" s="80"/>
      <c r="CQR46" s="80"/>
      <c r="CQS46" s="80"/>
      <c r="CQT46" s="80"/>
      <c r="CQU46" s="80"/>
      <c r="CQV46" s="80"/>
      <c r="CQW46" s="80"/>
      <c r="CQX46" s="80"/>
      <c r="CQY46" s="80"/>
      <c r="CQZ46" s="80"/>
      <c r="CRA46" s="80"/>
      <c r="CRB46" s="80"/>
      <c r="CRC46" s="80"/>
      <c r="CRD46" s="80"/>
      <c r="CRE46" s="80"/>
      <c r="CRF46" s="80"/>
      <c r="CRG46" s="80"/>
      <c r="CRH46" s="80"/>
      <c r="CRI46" s="80"/>
      <c r="CRJ46" s="80"/>
      <c r="CRK46" s="80"/>
      <c r="CRL46" s="80"/>
      <c r="CRM46" s="80"/>
      <c r="CRN46" s="80"/>
      <c r="CRO46" s="80"/>
      <c r="CRP46" s="80"/>
      <c r="CRQ46" s="80"/>
      <c r="CRR46" s="80"/>
      <c r="CRS46" s="80"/>
      <c r="CRT46" s="80"/>
      <c r="CRU46" s="80"/>
      <c r="CRV46" s="80"/>
      <c r="CRW46" s="80"/>
      <c r="CRX46" s="80"/>
      <c r="CRY46" s="80"/>
      <c r="CRZ46" s="80"/>
      <c r="CSA46" s="80"/>
      <c r="CSB46" s="80"/>
      <c r="CSC46" s="80"/>
      <c r="CSD46" s="80"/>
      <c r="CSE46" s="80"/>
      <c r="CSF46" s="80"/>
      <c r="CSG46" s="80"/>
      <c r="CSH46" s="80"/>
      <c r="CSI46" s="80"/>
      <c r="CSJ46" s="80"/>
      <c r="CSK46" s="80"/>
      <c r="CSL46" s="80"/>
      <c r="CSM46" s="80"/>
      <c r="CSN46" s="80"/>
      <c r="CSO46" s="80"/>
      <c r="CSP46" s="80"/>
      <c r="CSQ46" s="80"/>
      <c r="CSR46" s="80"/>
      <c r="CSS46" s="80"/>
      <c r="CST46" s="80"/>
      <c r="CSU46" s="80"/>
      <c r="CSV46" s="80"/>
      <c r="CSW46" s="80"/>
      <c r="CSX46" s="80"/>
      <c r="CSY46" s="80"/>
      <c r="CSZ46" s="80"/>
      <c r="CTA46" s="80"/>
      <c r="CTB46" s="80"/>
      <c r="CTC46" s="80"/>
      <c r="CTD46" s="80"/>
      <c r="CTE46" s="80"/>
      <c r="CTF46" s="80"/>
      <c r="CTG46" s="80"/>
      <c r="CTH46" s="80"/>
      <c r="CTI46" s="80"/>
      <c r="CTJ46" s="80"/>
      <c r="CTK46" s="80"/>
      <c r="CTL46" s="80"/>
      <c r="CTM46" s="80"/>
      <c r="CTN46" s="80"/>
      <c r="CTO46" s="80"/>
      <c r="CTP46" s="80"/>
      <c r="CTQ46" s="80"/>
      <c r="CTR46" s="80"/>
      <c r="CTS46" s="80"/>
      <c r="CTT46" s="80"/>
      <c r="CTU46" s="80"/>
      <c r="CTV46" s="80"/>
      <c r="CTW46" s="80"/>
      <c r="CTX46" s="80"/>
      <c r="CTY46" s="80"/>
      <c r="CTZ46" s="80"/>
      <c r="CUA46" s="80"/>
      <c r="CUB46" s="80"/>
      <c r="CUC46" s="80"/>
      <c r="CUD46" s="80"/>
      <c r="CUE46" s="80"/>
      <c r="CUF46" s="80"/>
      <c r="CUG46" s="80"/>
      <c r="CUH46" s="80"/>
      <c r="CUI46" s="80"/>
      <c r="CUJ46" s="80"/>
      <c r="CUK46" s="80"/>
      <c r="CUL46" s="80"/>
      <c r="CUM46" s="80"/>
      <c r="CUN46" s="80"/>
      <c r="CUO46" s="80"/>
      <c r="CUP46" s="80"/>
      <c r="CUQ46" s="80"/>
      <c r="CUR46" s="80"/>
      <c r="CUS46" s="80"/>
      <c r="CUT46" s="80"/>
      <c r="CUU46" s="80"/>
      <c r="CUV46" s="80"/>
      <c r="CUW46" s="80"/>
      <c r="CUX46" s="80"/>
      <c r="CUY46" s="80"/>
      <c r="CUZ46" s="80"/>
      <c r="CVA46" s="80"/>
      <c r="CVB46" s="80"/>
      <c r="CVC46" s="80"/>
      <c r="CVD46" s="80"/>
      <c r="CVE46" s="80"/>
      <c r="CVF46" s="80"/>
      <c r="CVG46" s="80"/>
      <c r="CVH46" s="80"/>
      <c r="CVI46" s="80"/>
      <c r="CVJ46" s="80"/>
      <c r="CVK46" s="80"/>
      <c r="CVL46" s="80"/>
      <c r="CVM46" s="80"/>
      <c r="CVN46" s="80"/>
      <c r="CVO46" s="80"/>
      <c r="CVP46" s="80"/>
      <c r="CVQ46" s="80"/>
      <c r="CVR46" s="80"/>
      <c r="CVS46" s="80"/>
      <c r="CVT46" s="80"/>
      <c r="CVU46" s="80"/>
      <c r="CVV46" s="80"/>
      <c r="CVW46" s="80"/>
      <c r="CVX46" s="80"/>
      <c r="CVY46" s="80"/>
      <c r="CVZ46" s="80"/>
      <c r="CWA46" s="80"/>
      <c r="CWB46" s="80"/>
      <c r="CWC46" s="80"/>
      <c r="CWD46" s="80"/>
      <c r="CWE46" s="80"/>
      <c r="CWF46" s="80"/>
      <c r="CWG46" s="80"/>
      <c r="CWH46" s="80"/>
      <c r="CWI46" s="80"/>
      <c r="CWJ46" s="80"/>
      <c r="CWK46" s="80"/>
      <c r="CWL46" s="80"/>
      <c r="CWM46" s="80"/>
      <c r="CWN46" s="80"/>
      <c r="CWO46" s="80"/>
      <c r="CWP46" s="80"/>
      <c r="CWQ46" s="80"/>
      <c r="CWR46" s="80"/>
      <c r="CWS46" s="80"/>
      <c r="CWT46" s="80"/>
      <c r="CWU46" s="80"/>
      <c r="CWV46" s="80"/>
      <c r="CWW46" s="80"/>
      <c r="CWX46" s="80"/>
      <c r="CWY46" s="80"/>
      <c r="CWZ46" s="80"/>
      <c r="CXA46" s="80"/>
      <c r="CXB46" s="80"/>
      <c r="CXC46" s="80"/>
      <c r="CXD46" s="80"/>
      <c r="CXE46" s="80"/>
      <c r="CXF46" s="80"/>
      <c r="CXG46" s="80"/>
      <c r="CXH46" s="80"/>
      <c r="CXI46" s="80"/>
      <c r="CXJ46" s="80"/>
      <c r="CXK46" s="80"/>
      <c r="CXL46" s="80"/>
      <c r="CXM46" s="80"/>
      <c r="CXN46" s="80"/>
      <c r="CXO46" s="80"/>
      <c r="CXP46" s="80"/>
      <c r="CXQ46" s="80"/>
      <c r="CXR46" s="80"/>
      <c r="CXS46" s="80"/>
      <c r="CXT46" s="80"/>
      <c r="CXU46" s="80"/>
      <c r="CXV46" s="80"/>
      <c r="CXW46" s="80"/>
      <c r="CXX46" s="80"/>
      <c r="CXY46" s="80"/>
      <c r="CXZ46" s="80"/>
      <c r="CYA46" s="80"/>
      <c r="CYB46" s="80"/>
      <c r="CYC46" s="80"/>
      <c r="CYD46" s="80"/>
      <c r="CYE46" s="80"/>
      <c r="CYF46" s="80"/>
      <c r="CYG46" s="80"/>
      <c r="CYH46" s="80"/>
      <c r="CYI46" s="80"/>
      <c r="CYJ46" s="80"/>
      <c r="CYK46" s="80"/>
      <c r="CYL46" s="80"/>
      <c r="CYM46" s="80"/>
      <c r="CYN46" s="80"/>
      <c r="CYO46" s="80"/>
      <c r="CYP46" s="80"/>
      <c r="CYQ46" s="80"/>
      <c r="CYR46" s="80"/>
      <c r="CYS46" s="80"/>
      <c r="CYT46" s="80"/>
      <c r="CYU46" s="80"/>
      <c r="CYV46" s="80"/>
      <c r="CYW46" s="80"/>
      <c r="CYX46" s="80"/>
      <c r="CYY46" s="80"/>
      <c r="CYZ46" s="80"/>
      <c r="CZA46" s="80"/>
      <c r="CZB46" s="80"/>
      <c r="CZC46" s="80"/>
      <c r="CZD46" s="80"/>
      <c r="CZE46" s="80"/>
      <c r="CZF46" s="80"/>
      <c r="CZG46" s="80"/>
      <c r="CZH46" s="80"/>
      <c r="CZI46" s="80"/>
      <c r="CZJ46" s="80"/>
      <c r="CZK46" s="80"/>
      <c r="CZL46" s="80"/>
      <c r="CZM46" s="80"/>
      <c r="CZN46" s="80"/>
      <c r="CZO46" s="80"/>
      <c r="CZP46" s="80"/>
      <c r="CZQ46" s="80"/>
      <c r="CZR46" s="80"/>
      <c r="CZS46" s="80"/>
      <c r="CZT46" s="80"/>
      <c r="CZU46" s="80"/>
      <c r="CZV46" s="80"/>
      <c r="CZW46" s="80"/>
      <c r="CZX46" s="80"/>
      <c r="CZY46" s="80"/>
      <c r="CZZ46" s="80"/>
      <c r="DAA46" s="80"/>
      <c r="DAB46" s="80"/>
      <c r="DAC46" s="80"/>
      <c r="DAD46" s="80"/>
      <c r="DAE46" s="80"/>
      <c r="DAF46" s="80"/>
      <c r="DAG46" s="80"/>
      <c r="DAH46" s="80"/>
      <c r="DAI46" s="80"/>
      <c r="DAJ46" s="80"/>
      <c r="DAK46" s="80"/>
      <c r="DAL46" s="80"/>
      <c r="DAM46" s="80"/>
      <c r="DAN46" s="80"/>
      <c r="DAO46" s="80"/>
      <c r="DAP46" s="80"/>
      <c r="DAQ46" s="80"/>
      <c r="DAR46" s="80"/>
      <c r="DAS46" s="80"/>
      <c r="DAT46" s="80"/>
      <c r="DAU46" s="80"/>
      <c r="DAV46" s="80"/>
      <c r="DAW46" s="80"/>
      <c r="DAX46" s="80"/>
      <c r="DAY46" s="80"/>
      <c r="DAZ46" s="80"/>
      <c r="DBA46" s="80"/>
      <c r="DBB46" s="80"/>
      <c r="DBC46" s="80"/>
      <c r="DBD46" s="80"/>
      <c r="DBE46" s="80"/>
      <c r="DBF46" s="80"/>
      <c r="DBG46" s="80"/>
      <c r="DBH46" s="80"/>
      <c r="DBI46" s="80"/>
      <c r="DBJ46" s="80"/>
      <c r="DBK46" s="80"/>
      <c r="DBL46" s="80"/>
      <c r="DBM46" s="80"/>
      <c r="DBN46" s="80"/>
      <c r="DBO46" s="80"/>
      <c r="DBP46" s="80"/>
      <c r="DBQ46" s="80"/>
      <c r="DBR46" s="80"/>
      <c r="DBS46" s="80"/>
      <c r="DBT46" s="80"/>
      <c r="DBU46" s="80"/>
      <c r="DBV46" s="80"/>
      <c r="DBW46" s="80"/>
      <c r="DBX46" s="80"/>
      <c r="DBY46" s="80"/>
      <c r="DBZ46" s="80"/>
      <c r="DCA46" s="80"/>
      <c r="DCB46" s="80"/>
      <c r="DCC46" s="80"/>
      <c r="DCD46" s="80"/>
      <c r="DCE46" s="80"/>
      <c r="DCF46" s="80"/>
      <c r="DCG46" s="80"/>
      <c r="DCH46" s="80"/>
      <c r="DCI46" s="80"/>
      <c r="DCJ46" s="80"/>
      <c r="DCK46" s="80"/>
      <c r="DCL46" s="80"/>
      <c r="DCM46" s="80"/>
      <c r="DCN46" s="80"/>
      <c r="DCO46" s="80"/>
      <c r="DCP46" s="80"/>
      <c r="DCQ46" s="80"/>
      <c r="DCR46" s="80"/>
      <c r="DCS46" s="80"/>
      <c r="DCT46" s="80"/>
      <c r="DCU46" s="80"/>
      <c r="DCV46" s="80"/>
      <c r="DCW46" s="80"/>
      <c r="DCX46" s="80"/>
      <c r="DCY46" s="80"/>
      <c r="DCZ46" s="80"/>
      <c r="DDA46" s="80"/>
      <c r="DDB46" s="80"/>
      <c r="DDC46" s="80"/>
      <c r="DDD46" s="80"/>
      <c r="DDE46" s="80"/>
      <c r="DDF46" s="80"/>
      <c r="DDG46" s="80"/>
      <c r="DDH46" s="80"/>
      <c r="DDI46" s="80"/>
      <c r="DDJ46" s="80"/>
      <c r="DDK46" s="80"/>
      <c r="DDL46" s="80"/>
      <c r="DDM46" s="80"/>
      <c r="DDN46" s="80"/>
      <c r="DDO46" s="80"/>
      <c r="DDP46" s="80"/>
      <c r="DDQ46" s="80"/>
      <c r="DDR46" s="80"/>
      <c r="DDS46" s="80"/>
      <c r="DDT46" s="80"/>
      <c r="DDU46" s="80"/>
      <c r="DDV46" s="80"/>
      <c r="DDW46" s="80"/>
      <c r="DDX46" s="80"/>
      <c r="DDY46" s="80"/>
      <c r="DDZ46" s="80"/>
      <c r="DEA46" s="80"/>
      <c r="DEB46" s="80"/>
      <c r="DEC46" s="80"/>
      <c r="DED46" s="80"/>
      <c r="DEE46" s="80"/>
      <c r="DEF46" s="80"/>
      <c r="DEG46" s="80"/>
      <c r="DEH46" s="80"/>
      <c r="DEI46" s="80"/>
      <c r="DEJ46" s="80"/>
      <c r="DEK46" s="80"/>
      <c r="DEL46" s="80"/>
      <c r="DEM46" s="80"/>
      <c r="DEN46" s="80"/>
      <c r="DEO46" s="80"/>
      <c r="DEP46" s="80"/>
      <c r="DEQ46" s="80"/>
      <c r="DER46" s="80"/>
      <c r="DES46" s="80"/>
      <c r="DET46" s="80"/>
      <c r="DEU46" s="80"/>
      <c r="DEV46" s="80"/>
      <c r="DEW46" s="80"/>
      <c r="DEX46" s="80"/>
      <c r="DEY46" s="80"/>
      <c r="DEZ46" s="80"/>
      <c r="DFA46" s="80"/>
      <c r="DFB46" s="80"/>
      <c r="DFC46" s="80"/>
      <c r="DFD46" s="80"/>
      <c r="DFE46" s="80"/>
      <c r="DFF46" s="80"/>
      <c r="DFG46" s="80"/>
      <c r="DFH46" s="80"/>
      <c r="DFI46" s="80"/>
      <c r="DFJ46" s="80"/>
      <c r="DFK46" s="80"/>
      <c r="DFL46" s="80"/>
      <c r="DFM46" s="80"/>
      <c r="DFN46" s="80"/>
      <c r="DFO46" s="80"/>
      <c r="DFP46" s="80"/>
      <c r="DFQ46" s="80"/>
      <c r="DFR46" s="80"/>
      <c r="DFS46" s="80"/>
      <c r="DFT46" s="80"/>
      <c r="DFU46" s="80"/>
      <c r="DFV46" s="80"/>
      <c r="DFW46" s="80"/>
      <c r="DFX46" s="80"/>
      <c r="DFY46" s="80"/>
      <c r="DFZ46" s="80"/>
      <c r="DGA46" s="80"/>
      <c r="DGB46" s="80"/>
      <c r="DGC46" s="80"/>
      <c r="DGD46" s="80"/>
      <c r="DGE46" s="80"/>
      <c r="DGF46" s="80"/>
      <c r="DGG46" s="80"/>
      <c r="DGH46" s="80"/>
      <c r="DGI46" s="80"/>
      <c r="DGJ46" s="80"/>
      <c r="DGK46" s="80"/>
      <c r="DGL46" s="80"/>
      <c r="DGM46" s="80"/>
      <c r="DGN46" s="80"/>
      <c r="DGO46" s="80"/>
      <c r="DGP46" s="80"/>
      <c r="DGQ46" s="80"/>
      <c r="DGR46" s="80"/>
      <c r="DGS46" s="80"/>
      <c r="DGT46" s="80"/>
      <c r="DGU46" s="80"/>
      <c r="DGV46" s="80"/>
      <c r="DGW46" s="80"/>
      <c r="DGX46" s="80"/>
      <c r="DGY46" s="80"/>
      <c r="DGZ46" s="80"/>
      <c r="DHA46" s="80"/>
      <c r="DHB46" s="80"/>
      <c r="DHC46" s="80"/>
      <c r="DHD46" s="80"/>
      <c r="DHE46" s="80"/>
      <c r="DHF46" s="80"/>
      <c r="DHG46" s="80"/>
      <c r="DHH46" s="80"/>
      <c r="DHI46" s="80"/>
      <c r="DHJ46" s="80"/>
      <c r="DHK46" s="80"/>
      <c r="DHL46" s="80"/>
      <c r="DHM46" s="80"/>
      <c r="DHN46" s="80"/>
      <c r="DHO46" s="80"/>
      <c r="DHP46" s="80"/>
      <c r="DHQ46" s="80"/>
      <c r="DHR46" s="80"/>
      <c r="DHS46" s="80"/>
      <c r="DHT46" s="80"/>
      <c r="DHU46" s="80"/>
      <c r="DHV46" s="80"/>
      <c r="DHW46" s="80"/>
      <c r="DHX46" s="80"/>
      <c r="DHY46" s="80"/>
      <c r="DHZ46" s="80"/>
      <c r="DIA46" s="80"/>
      <c r="DIB46" s="80"/>
      <c r="DIC46" s="80"/>
      <c r="DID46" s="80"/>
      <c r="DIE46" s="80"/>
      <c r="DIF46" s="80"/>
      <c r="DIG46" s="80"/>
      <c r="DIH46" s="80"/>
      <c r="DII46" s="80"/>
      <c r="DIJ46" s="80"/>
      <c r="DIK46" s="80"/>
      <c r="DIL46" s="80"/>
      <c r="DIM46" s="80"/>
      <c r="DIN46" s="80"/>
      <c r="DIO46" s="80"/>
      <c r="DIP46" s="80"/>
      <c r="DIQ46" s="80"/>
      <c r="DIR46" s="80"/>
      <c r="DIS46" s="80"/>
      <c r="DIT46" s="80"/>
      <c r="DIU46" s="80"/>
      <c r="DIV46" s="80"/>
      <c r="DIW46" s="80"/>
      <c r="DIX46" s="80"/>
      <c r="DIY46" s="80"/>
      <c r="DIZ46" s="80"/>
      <c r="DJA46" s="80"/>
      <c r="DJB46" s="80"/>
      <c r="DJC46" s="80"/>
      <c r="DJD46" s="80"/>
      <c r="DJE46" s="80"/>
      <c r="DJF46" s="80"/>
      <c r="DJG46" s="80"/>
      <c r="DJH46" s="80"/>
      <c r="DJI46" s="80"/>
      <c r="DJJ46" s="80"/>
      <c r="DJK46" s="80"/>
      <c r="DJL46" s="80"/>
      <c r="DJM46" s="80"/>
      <c r="DJN46" s="80"/>
      <c r="DJO46" s="80"/>
      <c r="DJP46" s="80"/>
      <c r="DJQ46" s="80"/>
      <c r="DJR46" s="80"/>
      <c r="DJS46" s="80"/>
      <c r="DJT46" s="80"/>
      <c r="DJU46" s="80"/>
      <c r="DJV46" s="80"/>
      <c r="DJW46" s="80"/>
      <c r="DJX46" s="80"/>
      <c r="DJY46" s="80"/>
      <c r="DJZ46" s="80"/>
      <c r="DKA46" s="80"/>
      <c r="DKB46" s="80"/>
      <c r="DKC46" s="80"/>
      <c r="DKD46" s="80"/>
      <c r="DKE46" s="80"/>
      <c r="DKF46" s="80"/>
      <c r="DKG46" s="80"/>
      <c r="DKH46" s="80"/>
      <c r="DKI46" s="80"/>
      <c r="DKJ46" s="80"/>
      <c r="DKK46" s="80"/>
      <c r="DKL46" s="80"/>
      <c r="DKM46" s="80"/>
      <c r="DKN46" s="80"/>
      <c r="DKO46" s="80"/>
      <c r="DKP46" s="80"/>
      <c r="DKQ46" s="80"/>
      <c r="DKR46" s="80"/>
      <c r="DKS46" s="80"/>
      <c r="DKT46" s="80"/>
      <c r="DKU46" s="80"/>
      <c r="DKV46" s="80"/>
      <c r="DKW46" s="80"/>
      <c r="DKX46" s="80"/>
      <c r="DKY46" s="80"/>
      <c r="DKZ46" s="80"/>
      <c r="DLA46" s="80"/>
      <c r="DLB46" s="80"/>
      <c r="DLC46" s="80"/>
      <c r="DLD46" s="80"/>
      <c r="DLE46" s="80"/>
      <c r="DLF46" s="80"/>
      <c r="DLG46" s="80"/>
      <c r="DLH46" s="80"/>
      <c r="DLI46" s="80"/>
      <c r="DLJ46" s="80"/>
      <c r="DLK46" s="80"/>
      <c r="DLL46" s="80"/>
      <c r="DLM46" s="80"/>
      <c r="DLN46" s="80"/>
      <c r="DLO46" s="80"/>
      <c r="DLP46" s="80"/>
      <c r="DLQ46" s="80"/>
      <c r="DLR46" s="80"/>
      <c r="DLS46" s="80"/>
      <c r="DLT46" s="80"/>
      <c r="DLU46" s="80"/>
      <c r="DLV46" s="80"/>
      <c r="DLW46" s="80"/>
      <c r="DLX46" s="80"/>
      <c r="DLY46" s="80"/>
      <c r="DLZ46" s="80"/>
      <c r="DMA46" s="80"/>
      <c r="DMB46" s="80"/>
      <c r="DMC46" s="80"/>
      <c r="DMD46" s="80"/>
      <c r="DME46" s="80"/>
      <c r="DMF46" s="80"/>
      <c r="DMG46" s="80"/>
      <c r="DMH46" s="80"/>
      <c r="DMI46" s="80"/>
      <c r="DMJ46" s="80"/>
      <c r="DMK46" s="80"/>
      <c r="DML46" s="80"/>
      <c r="DMM46" s="80"/>
      <c r="DMN46" s="80"/>
      <c r="DMO46" s="80"/>
      <c r="DMP46" s="80"/>
      <c r="DMQ46" s="80"/>
      <c r="DMR46" s="80"/>
      <c r="DMS46" s="80"/>
      <c r="DMT46" s="80"/>
      <c r="DMU46" s="80"/>
      <c r="DMV46" s="80"/>
      <c r="DMW46" s="80"/>
      <c r="DMX46" s="80"/>
      <c r="DMY46" s="80"/>
      <c r="DMZ46" s="80"/>
      <c r="DNA46" s="80"/>
      <c r="DNB46" s="80"/>
      <c r="DNC46" s="80"/>
      <c r="DND46" s="80"/>
      <c r="DNE46" s="80"/>
      <c r="DNF46" s="80"/>
      <c r="DNG46" s="80"/>
      <c r="DNH46" s="80"/>
      <c r="DNI46" s="80"/>
      <c r="DNJ46" s="80"/>
      <c r="DNK46" s="80"/>
      <c r="DNL46" s="80"/>
      <c r="DNM46" s="80"/>
      <c r="DNN46" s="80"/>
      <c r="DNO46" s="80"/>
      <c r="DNP46" s="80"/>
      <c r="DNQ46" s="80"/>
      <c r="DNR46" s="80"/>
      <c r="DNS46" s="80"/>
      <c r="DNT46" s="80"/>
      <c r="DNU46" s="80"/>
      <c r="DNV46" s="80"/>
      <c r="DNW46" s="80"/>
      <c r="DNX46" s="80"/>
      <c r="DNY46" s="80"/>
      <c r="DNZ46" s="80"/>
      <c r="DOA46" s="80"/>
      <c r="DOB46" s="80"/>
      <c r="DOC46" s="80"/>
      <c r="DOD46" s="80"/>
      <c r="DOE46" s="80"/>
      <c r="DOF46" s="80"/>
      <c r="DOG46" s="80"/>
      <c r="DOH46" s="80"/>
      <c r="DOI46" s="80"/>
      <c r="DOJ46" s="80"/>
      <c r="DOK46" s="80"/>
      <c r="DOL46" s="80"/>
      <c r="DOM46" s="80"/>
      <c r="DON46" s="80"/>
      <c r="DOO46" s="80"/>
      <c r="DOP46" s="80"/>
      <c r="DOQ46" s="80"/>
      <c r="DOR46" s="80"/>
      <c r="DOS46" s="80"/>
      <c r="DOT46" s="80"/>
      <c r="DOU46" s="80"/>
      <c r="DOV46" s="80"/>
      <c r="DOW46" s="80"/>
      <c r="DOX46" s="80"/>
      <c r="DOY46" s="80"/>
      <c r="DOZ46" s="80"/>
      <c r="DPA46" s="80"/>
      <c r="DPB46" s="80"/>
      <c r="DPC46" s="80"/>
      <c r="DPD46" s="80"/>
      <c r="DPE46" s="80"/>
      <c r="DPF46" s="80"/>
      <c r="DPG46" s="80"/>
      <c r="DPH46" s="80"/>
      <c r="DPI46" s="80"/>
      <c r="DPJ46" s="80"/>
      <c r="DPK46" s="80"/>
      <c r="DPL46" s="80"/>
      <c r="DPM46" s="80"/>
      <c r="DPN46" s="80"/>
      <c r="DPO46" s="80"/>
      <c r="DPP46" s="80"/>
      <c r="DPQ46" s="80"/>
      <c r="DPR46" s="80"/>
      <c r="DPS46" s="80"/>
      <c r="DPT46" s="80"/>
      <c r="DPU46" s="80"/>
      <c r="DPV46" s="80"/>
      <c r="DPW46" s="80"/>
      <c r="DPX46" s="80"/>
      <c r="DPY46" s="80"/>
      <c r="DPZ46" s="80"/>
      <c r="DQA46" s="80"/>
      <c r="DQB46" s="80"/>
      <c r="DQC46" s="80"/>
      <c r="DQD46" s="80"/>
      <c r="DQE46" s="80"/>
      <c r="DQF46" s="80"/>
      <c r="DQG46" s="80"/>
      <c r="DQH46" s="80"/>
      <c r="DQI46" s="80"/>
      <c r="DQJ46" s="80"/>
      <c r="DQK46" s="80"/>
      <c r="DQL46" s="80"/>
      <c r="DQM46" s="80"/>
      <c r="DQN46" s="80"/>
      <c r="DQO46" s="80"/>
      <c r="DQP46" s="80"/>
      <c r="DQQ46" s="80"/>
      <c r="DQR46" s="80"/>
      <c r="DQS46" s="80"/>
      <c r="DQT46" s="80"/>
      <c r="DQU46" s="80"/>
      <c r="DQV46" s="80"/>
      <c r="DQW46" s="80"/>
      <c r="DQX46" s="80"/>
      <c r="DQY46" s="80"/>
      <c r="DQZ46" s="80"/>
      <c r="DRA46" s="80"/>
      <c r="DRB46" s="80"/>
      <c r="DRC46" s="80"/>
      <c r="DRD46" s="80"/>
      <c r="DRE46" s="80"/>
      <c r="DRF46" s="80"/>
      <c r="DRG46" s="80"/>
      <c r="DRH46" s="80"/>
      <c r="DRI46" s="80"/>
      <c r="DRJ46" s="80"/>
      <c r="DRK46" s="80"/>
      <c r="DRL46" s="80"/>
      <c r="DRM46" s="80"/>
      <c r="DRN46" s="80"/>
      <c r="DRO46" s="80"/>
      <c r="DRP46" s="80"/>
      <c r="DRQ46" s="80"/>
      <c r="DRR46" s="80"/>
      <c r="DRS46" s="80"/>
      <c r="DRT46" s="80"/>
      <c r="DRU46" s="80"/>
      <c r="DRV46" s="80"/>
      <c r="DRW46" s="80"/>
      <c r="DRX46" s="80"/>
      <c r="DRY46" s="80"/>
      <c r="DRZ46" s="80"/>
      <c r="DSA46" s="80"/>
      <c r="DSB46" s="80"/>
      <c r="DSC46" s="80"/>
      <c r="DSD46" s="80"/>
      <c r="DSE46" s="80"/>
      <c r="DSF46" s="80"/>
      <c r="DSG46" s="80"/>
      <c r="DSH46" s="80"/>
      <c r="DSI46" s="80"/>
      <c r="DSJ46" s="80"/>
      <c r="DSK46" s="80"/>
      <c r="DSL46" s="80"/>
      <c r="DSM46" s="80"/>
      <c r="DSN46" s="80"/>
      <c r="DSO46" s="80"/>
      <c r="DSP46" s="80"/>
      <c r="DSQ46" s="80"/>
      <c r="DSR46" s="80"/>
      <c r="DSS46" s="80"/>
      <c r="DST46" s="80"/>
      <c r="DSU46" s="80"/>
      <c r="DSV46" s="80"/>
      <c r="DSW46" s="80"/>
      <c r="DSX46" s="80"/>
      <c r="DSY46" s="80"/>
      <c r="DSZ46" s="80"/>
      <c r="DTA46" s="80"/>
      <c r="DTB46" s="80"/>
      <c r="DTC46" s="80"/>
      <c r="DTD46" s="80"/>
      <c r="DTE46" s="80"/>
      <c r="DTF46" s="80"/>
      <c r="DTG46" s="80"/>
      <c r="DTH46" s="80"/>
      <c r="DTI46" s="80"/>
      <c r="DTJ46" s="80"/>
      <c r="DTK46" s="80"/>
      <c r="DTL46" s="80"/>
      <c r="DTM46" s="80"/>
      <c r="DTN46" s="80"/>
      <c r="DTO46" s="80"/>
      <c r="DTP46" s="80"/>
      <c r="DTQ46" s="80"/>
      <c r="DTR46" s="80"/>
      <c r="DTS46" s="80"/>
      <c r="DTT46" s="80"/>
      <c r="DTU46" s="80"/>
      <c r="DTV46" s="80"/>
      <c r="DTW46" s="80"/>
      <c r="DTX46" s="80"/>
      <c r="DTY46" s="80"/>
      <c r="DTZ46" s="80"/>
      <c r="DUA46" s="80"/>
      <c r="DUB46" s="80"/>
      <c r="DUC46" s="80"/>
      <c r="DUD46" s="80"/>
      <c r="DUE46" s="80"/>
      <c r="DUF46" s="80"/>
      <c r="DUG46" s="80"/>
      <c r="DUH46" s="80"/>
      <c r="DUI46" s="80"/>
      <c r="DUJ46" s="80"/>
      <c r="DUK46" s="80"/>
      <c r="DUL46" s="80"/>
      <c r="DUM46" s="80"/>
      <c r="DUN46" s="80"/>
      <c r="DUO46" s="80"/>
      <c r="DUP46" s="80"/>
      <c r="DUQ46" s="80"/>
      <c r="DUR46" s="80"/>
      <c r="DUS46" s="80"/>
      <c r="DUT46" s="80"/>
      <c r="DUU46" s="80"/>
      <c r="DUV46" s="80"/>
      <c r="DUW46" s="80"/>
      <c r="DUX46" s="80"/>
      <c r="DUY46" s="80"/>
      <c r="DUZ46" s="80"/>
      <c r="DVA46" s="80"/>
      <c r="DVB46" s="80"/>
      <c r="DVC46" s="80"/>
      <c r="DVD46" s="80"/>
      <c r="DVE46" s="80"/>
      <c r="DVF46" s="80"/>
      <c r="DVG46" s="80"/>
      <c r="DVH46" s="80"/>
      <c r="DVI46" s="80"/>
      <c r="DVJ46" s="80"/>
      <c r="DVK46" s="80"/>
      <c r="DVL46" s="80"/>
      <c r="DVM46" s="80"/>
      <c r="DVN46" s="80"/>
      <c r="DVO46" s="80"/>
      <c r="DVP46" s="80"/>
      <c r="DVQ46" s="80"/>
      <c r="DVR46" s="80"/>
      <c r="DVS46" s="80"/>
      <c r="DVT46" s="80"/>
      <c r="DVU46" s="80"/>
      <c r="DVV46" s="80"/>
      <c r="DVW46" s="80"/>
      <c r="DVX46" s="80"/>
      <c r="DVY46" s="80"/>
      <c r="DVZ46" s="80"/>
      <c r="DWA46" s="80"/>
      <c r="DWB46" s="80"/>
      <c r="DWC46" s="80"/>
      <c r="DWD46" s="80"/>
      <c r="DWE46" s="80"/>
      <c r="DWF46" s="80"/>
      <c r="DWG46" s="80"/>
      <c r="DWH46" s="80"/>
      <c r="DWI46" s="80"/>
      <c r="DWJ46" s="80"/>
      <c r="DWK46" s="80"/>
      <c r="DWL46" s="80"/>
      <c r="DWM46" s="80"/>
      <c r="DWN46" s="80"/>
      <c r="DWO46" s="80"/>
      <c r="DWP46" s="80"/>
      <c r="DWQ46" s="80"/>
      <c r="DWR46" s="80"/>
      <c r="DWS46" s="80"/>
      <c r="DWT46" s="80"/>
      <c r="DWU46" s="80"/>
      <c r="DWV46" s="80"/>
      <c r="DWW46" s="80"/>
      <c r="DWX46" s="80"/>
      <c r="DWY46" s="80"/>
      <c r="DWZ46" s="80"/>
      <c r="DXA46" s="80"/>
      <c r="DXB46" s="80"/>
      <c r="DXC46" s="80"/>
      <c r="DXD46" s="80"/>
      <c r="DXE46" s="80"/>
      <c r="DXF46" s="80"/>
      <c r="DXG46" s="80"/>
      <c r="DXH46" s="80"/>
      <c r="DXI46" s="80"/>
      <c r="DXJ46" s="80"/>
      <c r="DXK46" s="80"/>
      <c r="DXL46" s="80"/>
      <c r="DXM46" s="80"/>
      <c r="DXN46" s="80"/>
      <c r="DXO46" s="80"/>
      <c r="DXP46" s="80"/>
      <c r="DXQ46" s="80"/>
      <c r="DXR46" s="80"/>
      <c r="DXS46" s="80"/>
      <c r="DXT46" s="80"/>
      <c r="DXU46" s="80"/>
      <c r="DXV46" s="80"/>
      <c r="DXW46" s="80"/>
      <c r="DXX46" s="80"/>
      <c r="DXY46" s="80"/>
      <c r="DXZ46" s="80"/>
      <c r="DYA46" s="80"/>
      <c r="DYB46" s="80"/>
      <c r="DYC46" s="80"/>
      <c r="DYD46" s="80"/>
      <c r="DYE46" s="80"/>
      <c r="DYF46" s="80"/>
      <c r="DYG46" s="80"/>
      <c r="DYH46" s="80"/>
      <c r="DYI46" s="80"/>
      <c r="DYJ46" s="80"/>
      <c r="DYK46" s="80"/>
      <c r="DYL46" s="80"/>
      <c r="DYM46" s="80"/>
      <c r="DYN46" s="80"/>
      <c r="DYO46" s="80"/>
      <c r="DYP46" s="80"/>
      <c r="DYQ46" s="80"/>
      <c r="DYR46" s="80"/>
      <c r="DYS46" s="80"/>
      <c r="DYT46" s="80"/>
      <c r="DYU46" s="80"/>
      <c r="DYV46" s="80"/>
      <c r="DYW46" s="80"/>
      <c r="DYX46" s="80"/>
      <c r="DYY46" s="80"/>
      <c r="DYZ46" s="80"/>
      <c r="DZA46" s="80"/>
      <c r="DZB46" s="80"/>
      <c r="DZC46" s="80"/>
      <c r="DZD46" s="80"/>
      <c r="DZE46" s="80"/>
      <c r="DZF46" s="80"/>
      <c r="DZG46" s="80"/>
      <c r="DZH46" s="80"/>
      <c r="DZI46" s="80"/>
      <c r="DZJ46" s="80"/>
      <c r="DZK46" s="80"/>
      <c r="DZL46" s="80"/>
      <c r="DZM46" s="80"/>
      <c r="DZN46" s="80"/>
      <c r="DZO46" s="80"/>
      <c r="DZP46" s="80"/>
      <c r="DZQ46" s="80"/>
      <c r="DZR46" s="80"/>
      <c r="DZS46" s="80"/>
      <c r="DZT46" s="80"/>
      <c r="DZU46" s="80"/>
      <c r="DZV46" s="80"/>
      <c r="DZW46" s="80"/>
      <c r="DZX46" s="80"/>
      <c r="DZY46" s="80"/>
      <c r="DZZ46" s="80"/>
      <c r="EAA46" s="80"/>
      <c r="EAB46" s="80"/>
      <c r="EAC46" s="80"/>
      <c r="EAD46" s="80"/>
      <c r="EAE46" s="80"/>
      <c r="EAF46" s="80"/>
      <c r="EAG46" s="80"/>
      <c r="EAH46" s="80"/>
      <c r="EAI46" s="80"/>
      <c r="EAJ46" s="80"/>
      <c r="EAK46" s="80"/>
      <c r="EAL46" s="80"/>
      <c r="EAM46" s="80"/>
      <c r="EAN46" s="80"/>
      <c r="EAO46" s="80"/>
      <c r="EAP46" s="80"/>
      <c r="EAQ46" s="80"/>
      <c r="EAR46" s="80"/>
      <c r="EAS46" s="80"/>
      <c r="EAT46" s="80"/>
      <c r="EAU46" s="80"/>
      <c r="EAV46" s="80"/>
      <c r="EAW46" s="80"/>
      <c r="EAX46" s="80"/>
      <c r="EAY46" s="80"/>
      <c r="EAZ46" s="80"/>
      <c r="EBA46" s="80"/>
      <c r="EBB46" s="80"/>
      <c r="EBC46" s="80"/>
      <c r="EBD46" s="80"/>
      <c r="EBE46" s="80"/>
      <c r="EBF46" s="80"/>
      <c r="EBG46" s="80"/>
      <c r="EBH46" s="80"/>
      <c r="EBI46" s="80"/>
      <c r="EBJ46" s="80"/>
      <c r="EBK46" s="80"/>
      <c r="EBL46" s="80"/>
      <c r="EBM46" s="80"/>
      <c r="EBN46" s="80"/>
      <c r="EBO46" s="80"/>
      <c r="EBP46" s="80"/>
      <c r="EBQ46" s="80"/>
      <c r="EBR46" s="80"/>
      <c r="EBS46" s="80"/>
      <c r="EBT46" s="80"/>
      <c r="EBU46" s="80"/>
      <c r="EBV46" s="80"/>
      <c r="EBW46" s="80"/>
      <c r="EBX46" s="80"/>
      <c r="EBY46" s="80"/>
      <c r="EBZ46" s="80"/>
      <c r="ECA46" s="80"/>
      <c r="ECB46" s="80"/>
      <c r="ECC46" s="80"/>
      <c r="ECD46" s="80"/>
      <c r="ECE46" s="80"/>
      <c r="ECF46" s="80"/>
      <c r="ECG46" s="80"/>
      <c r="ECH46" s="80"/>
      <c r="ECI46" s="80"/>
      <c r="ECJ46" s="80"/>
      <c r="ECK46" s="80"/>
      <c r="ECL46" s="80"/>
      <c r="ECM46" s="80"/>
      <c r="ECN46" s="80"/>
      <c r="ECO46" s="80"/>
      <c r="ECP46" s="80"/>
      <c r="ECQ46" s="80"/>
      <c r="ECR46" s="80"/>
      <c r="ECS46" s="80"/>
      <c r="ECT46" s="80"/>
      <c r="ECU46" s="80"/>
      <c r="ECV46" s="80"/>
      <c r="ECW46" s="80"/>
      <c r="ECX46" s="80"/>
      <c r="ECY46" s="80"/>
      <c r="ECZ46" s="80"/>
      <c r="EDA46" s="80"/>
      <c r="EDB46" s="80"/>
      <c r="EDC46" s="80"/>
      <c r="EDD46" s="80"/>
      <c r="EDE46" s="80"/>
      <c r="EDF46" s="80"/>
      <c r="EDG46" s="80"/>
      <c r="EDH46" s="80"/>
      <c r="EDI46" s="80"/>
      <c r="EDJ46" s="80"/>
      <c r="EDK46" s="80"/>
      <c r="EDL46" s="80"/>
      <c r="EDM46" s="80"/>
      <c r="EDN46" s="80"/>
      <c r="EDO46" s="80"/>
      <c r="EDP46" s="80"/>
      <c r="EDQ46" s="80"/>
      <c r="EDR46" s="80"/>
      <c r="EDS46" s="80"/>
      <c r="EDT46" s="80"/>
      <c r="EDU46" s="80"/>
      <c r="EDV46" s="80"/>
      <c r="EDW46" s="80"/>
      <c r="EDX46" s="80"/>
      <c r="EDY46" s="80"/>
      <c r="EDZ46" s="80"/>
      <c r="EEA46" s="80"/>
      <c r="EEB46" s="80"/>
      <c r="EEC46" s="80"/>
      <c r="EED46" s="80"/>
      <c r="EEE46" s="80"/>
      <c r="EEF46" s="80"/>
      <c r="EEG46" s="80"/>
      <c r="EEH46" s="80"/>
      <c r="EEI46" s="80"/>
      <c r="EEJ46" s="80"/>
      <c r="EEK46" s="80"/>
      <c r="EEL46" s="80"/>
      <c r="EEM46" s="80"/>
      <c r="EEN46" s="80"/>
      <c r="EEO46" s="80"/>
      <c r="EEP46" s="80"/>
      <c r="EEQ46" s="80"/>
      <c r="EER46" s="80"/>
      <c r="EES46" s="80"/>
      <c r="EET46" s="80"/>
      <c r="EEU46" s="80"/>
      <c r="EEV46" s="80"/>
      <c r="EEW46" s="80"/>
      <c r="EEX46" s="80"/>
      <c r="EEY46" s="80"/>
      <c r="EEZ46" s="80"/>
      <c r="EFA46" s="80"/>
      <c r="EFB46" s="80"/>
      <c r="EFC46" s="80"/>
      <c r="EFD46" s="80"/>
      <c r="EFE46" s="80"/>
      <c r="EFF46" s="80"/>
      <c r="EFG46" s="80"/>
      <c r="EFH46" s="80"/>
      <c r="EFI46" s="80"/>
      <c r="EFJ46" s="80"/>
      <c r="EFK46" s="80"/>
      <c r="EFL46" s="80"/>
      <c r="EFM46" s="80"/>
      <c r="EFN46" s="80"/>
      <c r="EFO46" s="80"/>
      <c r="EFP46" s="80"/>
      <c r="EFQ46" s="80"/>
      <c r="EFR46" s="80"/>
      <c r="EFS46" s="80"/>
      <c r="EFT46" s="80"/>
      <c r="EFU46" s="80"/>
      <c r="EFV46" s="80"/>
      <c r="EFW46" s="80"/>
      <c r="EFX46" s="80"/>
      <c r="EFY46" s="80"/>
      <c r="EFZ46" s="80"/>
      <c r="EGA46" s="80"/>
      <c r="EGB46" s="80"/>
      <c r="EGC46" s="80"/>
      <c r="EGD46" s="80"/>
      <c r="EGE46" s="80"/>
      <c r="EGF46" s="80"/>
      <c r="EGG46" s="80"/>
      <c r="EGH46" s="80"/>
      <c r="EGI46" s="80"/>
      <c r="EGJ46" s="80"/>
      <c r="EGK46" s="80"/>
      <c r="EGL46" s="80"/>
      <c r="EGM46" s="80"/>
      <c r="EGN46" s="80"/>
      <c r="EGO46" s="80"/>
      <c r="EGP46" s="80"/>
      <c r="EGQ46" s="80"/>
      <c r="EGR46" s="80"/>
      <c r="EGS46" s="80"/>
      <c r="EGT46" s="80"/>
      <c r="EGU46" s="80"/>
      <c r="EGV46" s="80"/>
      <c r="EGW46" s="80"/>
      <c r="EGX46" s="80"/>
      <c r="EGY46" s="80"/>
      <c r="EGZ46" s="80"/>
      <c r="EHA46" s="80"/>
      <c r="EHB46" s="80"/>
      <c r="EHC46" s="80"/>
      <c r="EHD46" s="80"/>
      <c r="EHE46" s="80"/>
      <c r="EHF46" s="80"/>
      <c r="EHG46" s="80"/>
      <c r="EHH46" s="80"/>
      <c r="EHI46" s="80"/>
      <c r="EHJ46" s="80"/>
      <c r="EHK46" s="80"/>
      <c r="EHL46" s="80"/>
      <c r="EHM46" s="80"/>
      <c r="EHN46" s="80"/>
      <c r="EHO46" s="80"/>
      <c r="EHP46" s="80"/>
      <c r="EHQ46" s="80"/>
      <c r="EHR46" s="80"/>
      <c r="EHS46" s="80"/>
      <c r="EHT46" s="80"/>
      <c r="EHU46" s="80"/>
      <c r="EHV46" s="80"/>
      <c r="EHW46" s="80"/>
      <c r="EHX46" s="80"/>
      <c r="EHY46" s="80"/>
      <c r="EHZ46" s="80"/>
      <c r="EIA46" s="80"/>
      <c r="EIB46" s="80"/>
      <c r="EIC46" s="80"/>
      <c r="EID46" s="80"/>
      <c r="EIE46" s="80"/>
      <c r="EIF46" s="80"/>
      <c r="EIG46" s="80"/>
      <c r="EIH46" s="80"/>
      <c r="EII46" s="80"/>
      <c r="EIJ46" s="80"/>
      <c r="EIK46" s="80"/>
      <c r="EIL46" s="80"/>
      <c r="EIM46" s="80"/>
      <c r="EIN46" s="80"/>
      <c r="EIO46" s="80"/>
      <c r="EIP46" s="80"/>
      <c r="EIQ46" s="80"/>
      <c r="EIR46" s="80"/>
      <c r="EIS46" s="80"/>
      <c r="EIT46" s="80"/>
      <c r="EIU46" s="80"/>
      <c r="EIV46" s="80"/>
      <c r="EIW46" s="80"/>
      <c r="EIX46" s="80"/>
      <c r="EIY46" s="80"/>
      <c r="EIZ46" s="80"/>
      <c r="EJA46" s="80"/>
      <c r="EJB46" s="80"/>
      <c r="EJC46" s="80"/>
      <c r="EJD46" s="80"/>
      <c r="EJE46" s="80"/>
      <c r="EJF46" s="80"/>
      <c r="EJG46" s="80"/>
      <c r="EJH46" s="80"/>
      <c r="EJI46" s="80"/>
      <c r="EJJ46" s="80"/>
      <c r="EJK46" s="80"/>
      <c r="EJL46" s="80"/>
      <c r="EJM46" s="80"/>
      <c r="EJN46" s="80"/>
      <c r="EJO46" s="80"/>
      <c r="EJP46" s="80"/>
      <c r="EJQ46" s="80"/>
      <c r="EJR46" s="80"/>
      <c r="EJS46" s="80"/>
      <c r="EJT46" s="80"/>
      <c r="EJU46" s="80"/>
      <c r="EJV46" s="80"/>
      <c r="EJW46" s="80"/>
      <c r="EJX46" s="80"/>
      <c r="EJY46" s="80"/>
      <c r="EJZ46" s="80"/>
      <c r="EKA46" s="80"/>
      <c r="EKB46" s="80"/>
      <c r="EKC46" s="80"/>
      <c r="EKD46" s="80"/>
      <c r="EKE46" s="80"/>
      <c r="EKF46" s="80"/>
      <c r="EKG46" s="80"/>
      <c r="EKH46" s="80"/>
      <c r="EKI46" s="80"/>
      <c r="EKJ46" s="80"/>
      <c r="EKK46" s="80"/>
      <c r="EKL46" s="80"/>
      <c r="EKM46" s="80"/>
      <c r="EKN46" s="80"/>
      <c r="EKO46" s="80"/>
      <c r="EKP46" s="80"/>
      <c r="EKQ46" s="80"/>
      <c r="EKR46" s="80"/>
      <c r="EKS46" s="80"/>
      <c r="EKT46" s="80"/>
      <c r="EKU46" s="80"/>
      <c r="EKV46" s="80"/>
      <c r="EKW46" s="80"/>
      <c r="EKX46" s="80"/>
      <c r="EKY46" s="80"/>
      <c r="EKZ46" s="80"/>
      <c r="ELA46" s="80"/>
      <c r="ELB46" s="80"/>
      <c r="ELC46" s="80"/>
      <c r="ELD46" s="80"/>
      <c r="ELE46" s="80"/>
      <c r="ELF46" s="80"/>
      <c r="ELG46" s="80"/>
      <c r="ELH46" s="80"/>
      <c r="ELI46" s="80"/>
      <c r="ELJ46" s="80"/>
      <c r="ELK46" s="80"/>
      <c r="ELL46" s="80"/>
      <c r="ELM46" s="80"/>
      <c r="ELN46" s="80"/>
      <c r="ELO46" s="80"/>
      <c r="ELP46" s="80"/>
      <c r="ELQ46" s="80"/>
      <c r="ELR46" s="80"/>
      <c r="ELS46" s="80"/>
      <c r="ELT46" s="80"/>
      <c r="ELU46" s="80"/>
      <c r="ELV46" s="80"/>
      <c r="ELW46" s="80"/>
      <c r="ELX46" s="80"/>
      <c r="ELY46" s="80"/>
      <c r="ELZ46" s="80"/>
      <c r="EMA46" s="80"/>
      <c r="EMB46" s="80"/>
      <c r="EMC46" s="80"/>
      <c r="EMD46" s="80"/>
      <c r="EME46" s="80"/>
      <c r="EMF46" s="80"/>
      <c r="EMG46" s="80"/>
      <c r="EMH46" s="80"/>
      <c r="EMI46" s="80"/>
      <c r="EMJ46" s="80"/>
      <c r="EMK46" s="80"/>
      <c r="EML46" s="80"/>
      <c r="EMM46" s="80"/>
      <c r="EMN46" s="80"/>
      <c r="EMO46" s="80"/>
      <c r="EMP46" s="80"/>
      <c r="EMQ46" s="80"/>
      <c r="EMR46" s="80"/>
      <c r="EMS46" s="80"/>
      <c r="EMT46" s="80"/>
      <c r="EMU46" s="80"/>
      <c r="EMV46" s="80"/>
      <c r="EMW46" s="80"/>
      <c r="EMX46" s="80"/>
      <c r="EMY46" s="80"/>
      <c r="EMZ46" s="80"/>
      <c r="ENA46" s="80"/>
      <c r="ENB46" s="80"/>
      <c r="ENC46" s="80"/>
      <c r="END46" s="80"/>
      <c r="ENE46" s="80"/>
      <c r="ENF46" s="80"/>
      <c r="ENG46" s="80"/>
      <c r="ENH46" s="80"/>
      <c r="ENI46" s="80"/>
      <c r="ENJ46" s="80"/>
      <c r="ENK46" s="80"/>
      <c r="ENL46" s="80"/>
      <c r="ENM46" s="80"/>
      <c r="ENN46" s="80"/>
      <c r="ENO46" s="80"/>
      <c r="ENP46" s="80"/>
      <c r="ENQ46" s="80"/>
      <c r="ENR46" s="80"/>
      <c r="ENS46" s="80"/>
      <c r="ENT46" s="80"/>
      <c r="ENU46" s="80"/>
      <c r="ENV46" s="80"/>
      <c r="ENW46" s="80"/>
      <c r="ENX46" s="80"/>
      <c r="ENY46" s="80"/>
      <c r="ENZ46" s="80"/>
      <c r="EOA46" s="80"/>
      <c r="EOB46" s="80"/>
      <c r="EOC46" s="80"/>
      <c r="EOD46" s="80"/>
      <c r="EOE46" s="80"/>
      <c r="EOF46" s="80"/>
      <c r="EOG46" s="80"/>
      <c r="EOH46" s="80"/>
      <c r="EOI46" s="80"/>
      <c r="EOJ46" s="80"/>
      <c r="EOK46" s="80"/>
      <c r="EOL46" s="80"/>
      <c r="EOM46" s="80"/>
      <c r="EON46" s="80"/>
      <c r="EOO46" s="80"/>
      <c r="EOP46" s="80"/>
      <c r="EOQ46" s="80"/>
      <c r="EOR46" s="80"/>
      <c r="EOS46" s="80"/>
      <c r="EOT46" s="80"/>
      <c r="EOU46" s="80"/>
      <c r="EOV46" s="80"/>
      <c r="EOW46" s="80"/>
      <c r="EOX46" s="80"/>
      <c r="EOY46" s="80"/>
      <c r="EOZ46" s="80"/>
      <c r="EPA46" s="80"/>
      <c r="EPB46" s="80"/>
      <c r="EPC46" s="80"/>
      <c r="EPD46" s="80"/>
      <c r="EPE46" s="80"/>
      <c r="EPF46" s="80"/>
      <c r="EPG46" s="80"/>
      <c r="EPH46" s="80"/>
      <c r="EPI46" s="80"/>
      <c r="EPJ46" s="80"/>
      <c r="EPK46" s="80"/>
      <c r="EPL46" s="80"/>
      <c r="EPM46" s="80"/>
      <c r="EPN46" s="80"/>
      <c r="EPO46" s="80"/>
      <c r="EPP46" s="80"/>
      <c r="EPQ46" s="80"/>
      <c r="EPR46" s="80"/>
      <c r="EPS46" s="80"/>
      <c r="EPT46" s="80"/>
      <c r="EPU46" s="80"/>
      <c r="EPV46" s="80"/>
      <c r="EPW46" s="80"/>
      <c r="EPX46" s="80"/>
      <c r="EPY46" s="80"/>
      <c r="EPZ46" s="80"/>
      <c r="EQA46" s="80"/>
      <c r="EQB46" s="80"/>
      <c r="EQC46" s="80"/>
      <c r="EQD46" s="80"/>
      <c r="EQE46" s="80"/>
      <c r="EQF46" s="80"/>
      <c r="EQG46" s="80"/>
      <c r="EQH46" s="80"/>
      <c r="EQI46" s="80"/>
      <c r="EQJ46" s="80"/>
      <c r="EQK46" s="80"/>
      <c r="EQL46" s="80"/>
      <c r="EQM46" s="80"/>
      <c r="EQN46" s="80"/>
      <c r="EQO46" s="80"/>
      <c r="EQP46" s="80"/>
      <c r="EQQ46" s="80"/>
      <c r="EQR46" s="80"/>
      <c r="EQS46" s="80"/>
      <c r="EQT46" s="80"/>
      <c r="EQU46" s="80"/>
      <c r="EQV46" s="80"/>
      <c r="EQW46" s="80"/>
      <c r="EQX46" s="80"/>
      <c r="EQY46" s="80"/>
      <c r="EQZ46" s="80"/>
      <c r="ERA46" s="80"/>
      <c r="ERB46" s="80"/>
      <c r="ERC46" s="80"/>
      <c r="ERD46" s="80"/>
      <c r="ERE46" s="80"/>
      <c r="ERF46" s="80"/>
      <c r="ERG46" s="80"/>
      <c r="ERH46" s="80"/>
      <c r="ERI46" s="80"/>
      <c r="ERJ46" s="80"/>
      <c r="ERK46" s="80"/>
      <c r="ERL46" s="80"/>
      <c r="ERM46" s="80"/>
      <c r="ERN46" s="80"/>
      <c r="ERO46" s="80"/>
      <c r="ERP46" s="80"/>
      <c r="ERQ46" s="80"/>
      <c r="ERR46" s="80"/>
      <c r="ERS46" s="80"/>
      <c r="ERT46" s="80"/>
      <c r="ERU46" s="80"/>
      <c r="ERV46" s="80"/>
      <c r="ERW46" s="80"/>
      <c r="ERX46" s="80"/>
      <c r="ERY46" s="80"/>
      <c r="ERZ46" s="80"/>
      <c r="ESA46" s="80"/>
      <c r="ESB46" s="80"/>
      <c r="ESC46" s="80"/>
      <c r="ESD46" s="80"/>
      <c r="ESE46" s="80"/>
      <c r="ESF46" s="80"/>
      <c r="ESG46" s="80"/>
      <c r="ESH46" s="80"/>
      <c r="ESI46" s="80"/>
      <c r="ESJ46" s="80"/>
      <c r="ESK46" s="80"/>
      <c r="ESL46" s="80"/>
      <c r="ESM46" s="80"/>
      <c r="ESN46" s="80"/>
      <c r="ESO46" s="80"/>
      <c r="ESP46" s="80"/>
      <c r="ESQ46" s="80"/>
      <c r="ESR46" s="80"/>
      <c r="ESS46" s="80"/>
      <c r="EST46" s="80"/>
      <c r="ESU46" s="80"/>
      <c r="ESV46" s="80"/>
      <c r="ESW46" s="80"/>
      <c r="ESX46" s="80"/>
      <c r="ESY46" s="80"/>
      <c r="ESZ46" s="80"/>
      <c r="ETA46" s="80"/>
      <c r="ETB46" s="80"/>
      <c r="ETC46" s="80"/>
      <c r="ETD46" s="80"/>
      <c r="ETE46" s="80"/>
      <c r="ETF46" s="80"/>
      <c r="ETG46" s="80"/>
      <c r="ETH46" s="80"/>
      <c r="ETI46" s="80"/>
      <c r="ETJ46" s="80"/>
      <c r="ETK46" s="80"/>
      <c r="ETL46" s="80"/>
      <c r="ETM46" s="80"/>
      <c r="ETN46" s="80"/>
      <c r="ETO46" s="80"/>
      <c r="ETP46" s="80"/>
      <c r="ETQ46" s="80"/>
      <c r="ETR46" s="80"/>
      <c r="ETS46" s="80"/>
      <c r="ETT46" s="80"/>
      <c r="ETU46" s="80"/>
      <c r="ETV46" s="80"/>
      <c r="ETW46" s="80"/>
      <c r="ETX46" s="80"/>
      <c r="ETY46" s="80"/>
      <c r="ETZ46" s="80"/>
      <c r="EUA46" s="80"/>
      <c r="EUB46" s="80"/>
      <c r="EUC46" s="80"/>
      <c r="EUD46" s="80"/>
      <c r="EUE46" s="80"/>
      <c r="EUF46" s="80"/>
      <c r="EUG46" s="80"/>
      <c r="EUH46" s="80"/>
      <c r="EUI46" s="80"/>
      <c r="EUJ46" s="80"/>
      <c r="EUK46" s="80"/>
      <c r="EUL46" s="80"/>
      <c r="EUM46" s="80"/>
      <c r="EUN46" s="80"/>
      <c r="EUO46" s="80"/>
      <c r="EUP46" s="80"/>
      <c r="EUQ46" s="80"/>
      <c r="EUR46" s="80"/>
      <c r="EUS46" s="80"/>
      <c r="EUT46" s="80"/>
      <c r="EUU46" s="80"/>
      <c r="EUV46" s="80"/>
      <c r="EUW46" s="80"/>
      <c r="EUX46" s="80"/>
      <c r="EUY46" s="80"/>
      <c r="EUZ46" s="80"/>
      <c r="EVA46" s="80"/>
      <c r="EVB46" s="80"/>
      <c r="EVC46" s="80"/>
      <c r="EVD46" s="80"/>
      <c r="EVE46" s="80"/>
      <c r="EVF46" s="80"/>
      <c r="EVG46" s="80"/>
      <c r="EVH46" s="80"/>
      <c r="EVI46" s="80"/>
      <c r="EVJ46" s="80"/>
      <c r="EVK46" s="80"/>
      <c r="EVL46" s="80"/>
      <c r="EVM46" s="80"/>
      <c r="EVN46" s="80"/>
      <c r="EVO46" s="80"/>
      <c r="EVP46" s="80"/>
      <c r="EVQ46" s="80"/>
      <c r="EVR46" s="80"/>
      <c r="EVS46" s="80"/>
      <c r="EVT46" s="80"/>
      <c r="EVU46" s="80"/>
      <c r="EVV46" s="80"/>
      <c r="EVW46" s="80"/>
      <c r="EVX46" s="80"/>
      <c r="EVY46" s="80"/>
      <c r="EVZ46" s="80"/>
      <c r="EWA46" s="80"/>
      <c r="EWB46" s="80"/>
      <c r="EWC46" s="80"/>
      <c r="EWD46" s="80"/>
      <c r="EWE46" s="80"/>
      <c r="EWF46" s="80"/>
      <c r="EWG46" s="80"/>
      <c r="EWH46" s="80"/>
      <c r="EWI46" s="80"/>
      <c r="EWJ46" s="80"/>
      <c r="EWK46" s="80"/>
      <c r="EWL46" s="80"/>
      <c r="EWM46" s="80"/>
      <c r="EWN46" s="80"/>
      <c r="EWO46" s="80"/>
      <c r="EWP46" s="80"/>
      <c r="EWQ46" s="80"/>
      <c r="EWR46" s="80"/>
      <c r="EWS46" s="80"/>
      <c r="EWT46" s="80"/>
      <c r="EWU46" s="80"/>
      <c r="EWV46" s="80"/>
      <c r="EWW46" s="80"/>
      <c r="EWX46" s="80"/>
      <c r="EWY46" s="80"/>
      <c r="EWZ46" s="80"/>
      <c r="EXA46" s="80"/>
      <c r="EXB46" s="80"/>
      <c r="EXC46" s="80"/>
      <c r="EXD46" s="80"/>
      <c r="EXE46" s="80"/>
      <c r="EXF46" s="80"/>
      <c r="EXG46" s="80"/>
      <c r="EXH46" s="80"/>
      <c r="EXI46" s="80"/>
      <c r="EXJ46" s="80"/>
      <c r="EXK46" s="80"/>
      <c r="EXL46" s="80"/>
      <c r="EXM46" s="80"/>
      <c r="EXN46" s="80"/>
      <c r="EXO46" s="80"/>
      <c r="EXP46" s="80"/>
      <c r="EXQ46" s="80"/>
      <c r="EXR46" s="80"/>
      <c r="EXS46" s="80"/>
      <c r="EXT46" s="80"/>
      <c r="EXU46" s="80"/>
      <c r="EXV46" s="80"/>
      <c r="EXW46" s="80"/>
      <c r="EXX46" s="80"/>
      <c r="EXY46" s="80"/>
      <c r="EXZ46" s="80"/>
      <c r="EYA46" s="80"/>
      <c r="EYB46" s="80"/>
      <c r="EYC46" s="80"/>
      <c r="EYD46" s="80"/>
      <c r="EYE46" s="80"/>
      <c r="EYF46" s="80"/>
      <c r="EYG46" s="80"/>
      <c r="EYH46" s="80"/>
      <c r="EYI46" s="80"/>
      <c r="EYJ46" s="80"/>
      <c r="EYK46" s="80"/>
      <c r="EYL46" s="80"/>
      <c r="EYM46" s="80"/>
      <c r="EYN46" s="80"/>
      <c r="EYO46" s="80"/>
      <c r="EYP46" s="80"/>
      <c r="EYQ46" s="80"/>
      <c r="EYR46" s="80"/>
      <c r="EYS46" s="80"/>
      <c r="EYT46" s="80"/>
      <c r="EYU46" s="80"/>
      <c r="EYV46" s="80"/>
      <c r="EYW46" s="80"/>
      <c r="EYX46" s="80"/>
      <c r="EYY46" s="80"/>
      <c r="EYZ46" s="80"/>
      <c r="EZA46" s="80"/>
      <c r="EZB46" s="80"/>
      <c r="EZC46" s="80"/>
      <c r="EZD46" s="80"/>
      <c r="EZE46" s="80"/>
      <c r="EZF46" s="80"/>
      <c r="EZG46" s="80"/>
      <c r="EZH46" s="80"/>
      <c r="EZI46" s="80"/>
      <c r="EZJ46" s="80"/>
      <c r="EZK46" s="80"/>
      <c r="EZL46" s="80"/>
      <c r="EZM46" s="80"/>
      <c r="EZN46" s="80"/>
      <c r="EZO46" s="80"/>
      <c r="EZP46" s="80"/>
      <c r="EZQ46" s="80"/>
      <c r="EZR46" s="80"/>
      <c r="EZS46" s="80"/>
      <c r="EZT46" s="80"/>
      <c r="EZU46" s="80"/>
      <c r="EZV46" s="80"/>
      <c r="EZW46" s="80"/>
      <c r="EZX46" s="80"/>
      <c r="EZY46" s="80"/>
      <c r="EZZ46" s="80"/>
      <c r="FAA46" s="80"/>
      <c r="FAB46" s="80"/>
      <c r="FAC46" s="80"/>
      <c r="FAD46" s="80"/>
      <c r="FAE46" s="80"/>
      <c r="FAF46" s="80"/>
      <c r="FAG46" s="80"/>
      <c r="FAH46" s="80"/>
      <c r="FAI46" s="80"/>
      <c r="FAJ46" s="80"/>
      <c r="FAK46" s="80"/>
      <c r="FAL46" s="80"/>
      <c r="FAM46" s="80"/>
      <c r="FAN46" s="80"/>
      <c r="FAO46" s="80"/>
      <c r="FAP46" s="80"/>
      <c r="FAQ46" s="80"/>
      <c r="FAR46" s="80"/>
      <c r="FAS46" s="80"/>
      <c r="FAT46" s="80"/>
      <c r="FAU46" s="80"/>
      <c r="FAV46" s="80"/>
      <c r="FAW46" s="80"/>
      <c r="FAX46" s="80"/>
      <c r="FAY46" s="80"/>
      <c r="FAZ46" s="80"/>
      <c r="FBA46" s="80"/>
      <c r="FBB46" s="80"/>
      <c r="FBC46" s="80"/>
      <c r="FBD46" s="80"/>
      <c r="FBE46" s="80"/>
      <c r="FBF46" s="80"/>
      <c r="FBG46" s="80"/>
      <c r="FBH46" s="80"/>
      <c r="FBI46" s="80"/>
      <c r="FBJ46" s="80"/>
      <c r="FBK46" s="80"/>
      <c r="FBL46" s="80"/>
      <c r="FBM46" s="80"/>
      <c r="FBN46" s="80"/>
      <c r="FBO46" s="80"/>
      <c r="FBP46" s="80"/>
      <c r="FBQ46" s="80"/>
      <c r="FBR46" s="80"/>
      <c r="FBS46" s="80"/>
      <c r="FBT46" s="80"/>
      <c r="FBU46" s="80"/>
      <c r="FBV46" s="80"/>
      <c r="FBW46" s="80"/>
      <c r="FBX46" s="80"/>
      <c r="FBY46" s="80"/>
      <c r="FBZ46" s="80"/>
      <c r="FCA46" s="80"/>
      <c r="FCB46" s="80"/>
      <c r="FCC46" s="80"/>
      <c r="FCD46" s="80"/>
      <c r="FCE46" s="80"/>
      <c r="FCF46" s="80"/>
      <c r="FCG46" s="80"/>
      <c r="FCH46" s="80"/>
      <c r="FCI46" s="80"/>
      <c r="FCJ46" s="80"/>
      <c r="FCK46" s="80"/>
      <c r="FCL46" s="80"/>
      <c r="FCM46" s="80"/>
      <c r="FCN46" s="80"/>
      <c r="FCO46" s="80"/>
      <c r="FCP46" s="80"/>
      <c r="FCQ46" s="80"/>
      <c r="FCR46" s="80"/>
      <c r="FCS46" s="80"/>
      <c r="FCT46" s="80"/>
      <c r="FCU46" s="80"/>
      <c r="FCV46" s="80"/>
      <c r="FCW46" s="80"/>
      <c r="FCX46" s="80"/>
      <c r="FCY46" s="80"/>
      <c r="FCZ46" s="80"/>
      <c r="FDA46" s="80"/>
      <c r="FDB46" s="80"/>
      <c r="FDC46" s="80"/>
      <c r="FDD46" s="80"/>
      <c r="FDE46" s="80"/>
      <c r="FDF46" s="80"/>
      <c r="FDG46" s="80"/>
      <c r="FDH46" s="80"/>
      <c r="FDI46" s="80"/>
      <c r="FDJ46" s="80"/>
      <c r="FDK46" s="80"/>
      <c r="FDL46" s="80"/>
      <c r="FDM46" s="80"/>
      <c r="FDN46" s="80"/>
      <c r="FDO46" s="80"/>
      <c r="FDP46" s="80"/>
      <c r="FDQ46" s="80"/>
      <c r="FDR46" s="80"/>
      <c r="FDS46" s="80"/>
      <c r="FDT46" s="80"/>
      <c r="FDU46" s="80"/>
      <c r="FDV46" s="80"/>
      <c r="FDW46" s="80"/>
      <c r="FDX46" s="80"/>
      <c r="FDY46" s="80"/>
      <c r="FDZ46" s="80"/>
      <c r="FEA46" s="80"/>
      <c r="FEB46" s="80"/>
      <c r="FEC46" s="80"/>
      <c r="FED46" s="80"/>
      <c r="FEE46" s="80"/>
      <c r="FEF46" s="80"/>
      <c r="FEG46" s="80"/>
      <c r="FEH46" s="80"/>
      <c r="FEI46" s="80"/>
      <c r="FEJ46" s="80"/>
      <c r="FEK46" s="80"/>
      <c r="FEL46" s="80"/>
      <c r="FEM46" s="80"/>
      <c r="FEN46" s="80"/>
      <c r="FEO46" s="80"/>
      <c r="FEP46" s="80"/>
      <c r="FEQ46" s="80"/>
      <c r="FER46" s="80"/>
      <c r="FES46" s="80"/>
      <c r="FET46" s="80"/>
      <c r="FEU46" s="80"/>
      <c r="FEV46" s="80"/>
      <c r="FEW46" s="80"/>
      <c r="FEX46" s="80"/>
      <c r="FEY46" s="80"/>
      <c r="FEZ46" s="80"/>
      <c r="FFA46" s="80"/>
      <c r="FFB46" s="80"/>
      <c r="FFC46" s="80"/>
      <c r="FFD46" s="80"/>
      <c r="FFE46" s="80"/>
      <c r="FFF46" s="80"/>
      <c r="FFG46" s="80"/>
      <c r="FFH46" s="80"/>
      <c r="FFI46" s="80"/>
      <c r="FFJ46" s="80"/>
      <c r="FFK46" s="80"/>
      <c r="FFL46" s="80"/>
      <c r="FFM46" s="80"/>
      <c r="FFN46" s="80"/>
      <c r="FFO46" s="80"/>
      <c r="FFP46" s="80"/>
      <c r="FFQ46" s="80"/>
      <c r="FFR46" s="80"/>
      <c r="FFS46" s="80"/>
      <c r="FFT46" s="80"/>
      <c r="FFU46" s="80"/>
      <c r="FFV46" s="80"/>
      <c r="FFW46" s="80"/>
      <c r="FFX46" s="80"/>
      <c r="FFY46" s="80"/>
      <c r="FFZ46" s="80"/>
      <c r="FGA46" s="80"/>
      <c r="FGB46" s="80"/>
      <c r="FGC46" s="80"/>
      <c r="FGD46" s="80"/>
      <c r="FGE46" s="80"/>
      <c r="FGF46" s="80"/>
      <c r="FGG46" s="80"/>
      <c r="FGH46" s="80"/>
      <c r="FGI46" s="80"/>
      <c r="FGJ46" s="80"/>
      <c r="FGK46" s="80"/>
      <c r="FGL46" s="80"/>
      <c r="FGM46" s="80"/>
      <c r="FGN46" s="80"/>
      <c r="FGO46" s="80"/>
      <c r="FGP46" s="80"/>
      <c r="FGQ46" s="80"/>
      <c r="FGR46" s="80"/>
      <c r="FGS46" s="80"/>
      <c r="FGT46" s="80"/>
      <c r="FGU46" s="80"/>
      <c r="FGV46" s="80"/>
      <c r="FGW46" s="80"/>
      <c r="FGX46" s="80"/>
      <c r="FGY46" s="80"/>
      <c r="FGZ46" s="80"/>
      <c r="FHA46" s="80"/>
      <c r="FHB46" s="80"/>
      <c r="FHC46" s="80"/>
      <c r="FHD46" s="80"/>
      <c r="FHE46" s="80"/>
      <c r="FHF46" s="80"/>
      <c r="FHG46" s="80"/>
      <c r="FHH46" s="80"/>
      <c r="FHI46" s="80"/>
      <c r="FHJ46" s="80"/>
      <c r="FHK46" s="80"/>
      <c r="FHL46" s="80"/>
      <c r="FHM46" s="80"/>
      <c r="FHN46" s="80"/>
      <c r="FHO46" s="80"/>
      <c r="FHP46" s="80"/>
      <c r="FHQ46" s="80"/>
      <c r="FHR46" s="80"/>
      <c r="FHS46" s="80"/>
      <c r="FHT46" s="80"/>
      <c r="FHU46" s="80"/>
      <c r="FHV46" s="80"/>
      <c r="FHW46" s="80"/>
      <c r="FHX46" s="80"/>
      <c r="FHY46" s="80"/>
      <c r="FHZ46" s="80"/>
      <c r="FIA46" s="80"/>
      <c r="FIB46" s="80"/>
      <c r="FIC46" s="80"/>
      <c r="FID46" s="80"/>
      <c r="FIE46" s="80"/>
      <c r="FIF46" s="80"/>
      <c r="FIG46" s="80"/>
      <c r="FIH46" s="80"/>
      <c r="FII46" s="80"/>
      <c r="FIJ46" s="80"/>
      <c r="FIK46" s="80"/>
      <c r="FIL46" s="80"/>
      <c r="FIM46" s="80"/>
      <c r="FIN46" s="80"/>
      <c r="FIO46" s="80"/>
      <c r="FIP46" s="80"/>
      <c r="FIQ46" s="80"/>
      <c r="FIR46" s="80"/>
      <c r="FIS46" s="80"/>
      <c r="FIT46" s="80"/>
      <c r="FIU46" s="80"/>
      <c r="FIV46" s="80"/>
      <c r="FIW46" s="80"/>
      <c r="FIX46" s="80"/>
      <c r="FIY46" s="80"/>
      <c r="FIZ46" s="80"/>
      <c r="FJA46" s="80"/>
      <c r="FJB46" s="80"/>
      <c r="FJC46" s="80"/>
      <c r="FJD46" s="80"/>
      <c r="FJE46" s="80"/>
      <c r="FJF46" s="80"/>
      <c r="FJG46" s="80"/>
      <c r="FJH46" s="80"/>
      <c r="FJI46" s="80"/>
      <c r="FJJ46" s="80"/>
      <c r="FJK46" s="80"/>
      <c r="FJL46" s="80"/>
      <c r="FJM46" s="80"/>
      <c r="FJN46" s="80"/>
      <c r="FJO46" s="80"/>
      <c r="FJP46" s="80"/>
      <c r="FJQ46" s="80"/>
      <c r="FJR46" s="80"/>
      <c r="FJS46" s="80"/>
      <c r="FJT46" s="80"/>
      <c r="FJU46" s="80"/>
      <c r="FJV46" s="80"/>
      <c r="FJW46" s="80"/>
      <c r="FJX46" s="80"/>
      <c r="FJY46" s="80"/>
      <c r="FJZ46" s="80"/>
      <c r="FKA46" s="80"/>
      <c r="FKB46" s="80"/>
      <c r="FKC46" s="80"/>
      <c r="FKD46" s="80"/>
      <c r="FKE46" s="80"/>
      <c r="FKF46" s="80"/>
      <c r="FKG46" s="80"/>
      <c r="FKH46" s="80"/>
      <c r="FKI46" s="80"/>
      <c r="FKJ46" s="80"/>
      <c r="FKK46" s="80"/>
      <c r="FKL46" s="80"/>
      <c r="FKM46" s="80"/>
      <c r="FKN46" s="80"/>
      <c r="FKO46" s="80"/>
      <c r="FKP46" s="80"/>
      <c r="FKQ46" s="80"/>
      <c r="FKR46" s="80"/>
      <c r="FKS46" s="80"/>
      <c r="FKT46" s="80"/>
      <c r="FKU46" s="80"/>
      <c r="FKV46" s="80"/>
      <c r="FKW46" s="80"/>
      <c r="FKX46" s="80"/>
      <c r="FKY46" s="80"/>
      <c r="FKZ46" s="80"/>
      <c r="FLA46" s="80"/>
      <c r="FLB46" s="80"/>
      <c r="FLC46" s="80"/>
      <c r="FLD46" s="80"/>
      <c r="FLE46" s="80"/>
      <c r="FLF46" s="80"/>
      <c r="FLG46" s="80"/>
      <c r="FLH46" s="80"/>
      <c r="FLI46" s="80"/>
      <c r="FLJ46" s="80"/>
      <c r="FLK46" s="80"/>
      <c r="FLL46" s="80"/>
      <c r="FLM46" s="80"/>
      <c r="FLN46" s="80"/>
      <c r="FLO46" s="80"/>
      <c r="FLP46" s="80"/>
      <c r="FLQ46" s="80"/>
      <c r="FLR46" s="80"/>
      <c r="FLS46" s="80"/>
      <c r="FLT46" s="80"/>
      <c r="FLU46" s="80"/>
      <c r="FLV46" s="80"/>
      <c r="FLW46" s="80"/>
      <c r="FLX46" s="80"/>
      <c r="FLY46" s="80"/>
      <c r="FLZ46" s="80"/>
      <c r="FMA46" s="80"/>
      <c r="FMB46" s="80"/>
      <c r="FMC46" s="80"/>
      <c r="FMD46" s="80"/>
      <c r="FME46" s="80"/>
      <c r="FMF46" s="80"/>
      <c r="FMG46" s="80"/>
      <c r="FMH46" s="80"/>
      <c r="FMI46" s="80"/>
      <c r="FMJ46" s="80"/>
      <c r="FMK46" s="80"/>
      <c r="FML46" s="80"/>
      <c r="FMM46" s="80"/>
      <c r="FMN46" s="80"/>
      <c r="FMO46" s="80"/>
      <c r="FMP46" s="80"/>
      <c r="FMQ46" s="80"/>
      <c r="FMR46" s="80"/>
      <c r="FMS46" s="80"/>
      <c r="FMT46" s="80"/>
      <c r="FMU46" s="80"/>
      <c r="FMV46" s="80"/>
      <c r="FMW46" s="80"/>
      <c r="FMX46" s="80"/>
      <c r="FMY46" s="80"/>
      <c r="FMZ46" s="80"/>
      <c r="FNA46" s="80"/>
      <c r="FNB46" s="80"/>
      <c r="FNC46" s="80"/>
      <c r="FND46" s="80"/>
      <c r="FNE46" s="80"/>
      <c r="FNF46" s="80"/>
      <c r="FNG46" s="80"/>
      <c r="FNH46" s="80"/>
      <c r="FNI46" s="80"/>
      <c r="FNJ46" s="80"/>
      <c r="FNK46" s="80"/>
      <c r="FNL46" s="80"/>
      <c r="FNM46" s="80"/>
      <c r="FNN46" s="80"/>
      <c r="FNO46" s="80"/>
      <c r="FNP46" s="80"/>
      <c r="FNQ46" s="80"/>
      <c r="FNR46" s="80"/>
      <c r="FNS46" s="80"/>
      <c r="FNT46" s="80"/>
      <c r="FNU46" s="80"/>
      <c r="FNV46" s="80"/>
      <c r="FNW46" s="80"/>
      <c r="FNX46" s="80"/>
      <c r="FNY46" s="80"/>
      <c r="FNZ46" s="80"/>
      <c r="FOA46" s="80"/>
      <c r="FOB46" s="80"/>
      <c r="FOC46" s="80"/>
      <c r="FOD46" s="80"/>
      <c r="FOE46" s="80"/>
      <c r="FOF46" s="80"/>
      <c r="FOG46" s="80"/>
      <c r="FOH46" s="80"/>
      <c r="FOI46" s="80"/>
      <c r="FOJ46" s="80"/>
      <c r="FOK46" s="80"/>
      <c r="FOL46" s="80"/>
      <c r="FOM46" s="80"/>
      <c r="FON46" s="80"/>
      <c r="FOO46" s="80"/>
      <c r="FOP46" s="80"/>
      <c r="FOQ46" s="80"/>
      <c r="FOR46" s="80"/>
      <c r="FOS46" s="80"/>
      <c r="FOT46" s="80"/>
      <c r="FOU46" s="80"/>
      <c r="FOV46" s="80"/>
      <c r="FOW46" s="80"/>
      <c r="FOX46" s="80"/>
      <c r="FOY46" s="80"/>
      <c r="FOZ46" s="80"/>
      <c r="FPA46" s="80"/>
      <c r="FPB46" s="80"/>
      <c r="FPC46" s="80"/>
      <c r="FPD46" s="80"/>
      <c r="FPE46" s="80"/>
      <c r="FPF46" s="80"/>
      <c r="FPG46" s="80"/>
      <c r="FPH46" s="80"/>
      <c r="FPI46" s="80"/>
      <c r="FPJ46" s="80"/>
      <c r="FPK46" s="80"/>
      <c r="FPL46" s="80"/>
      <c r="FPM46" s="80"/>
      <c r="FPN46" s="80"/>
      <c r="FPO46" s="80"/>
      <c r="FPP46" s="80"/>
      <c r="FPQ46" s="80"/>
      <c r="FPR46" s="80"/>
      <c r="FPS46" s="80"/>
      <c r="FPT46" s="80"/>
      <c r="FPU46" s="80"/>
      <c r="FPV46" s="80"/>
      <c r="FPW46" s="80"/>
      <c r="FPX46" s="80"/>
      <c r="FPY46" s="80"/>
      <c r="FPZ46" s="80"/>
      <c r="FQA46" s="80"/>
      <c r="FQB46" s="80"/>
      <c r="FQC46" s="80"/>
      <c r="FQD46" s="80"/>
      <c r="FQE46" s="80"/>
      <c r="FQF46" s="80"/>
      <c r="FQG46" s="80"/>
      <c r="FQH46" s="80"/>
      <c r="FQI46" s="80"/>
      <c r="FQJ46" s="80"/>
      <c r="FQK46" s="80"/>
      <c r="FQL46" s="80"/>
      <c r="FQM46" s="80"/>
      <c r="FQN46" s="80"/>
      <c r="FQO46" s="80"/>
      <c r="FQP46" s="80"/>
      <c r="FQQ46" s="80"/>
      <c r="FQR46" s="80"/>
      <c r="FQS46" s="80"/>
      <c r="FQT46" s="80"/>
      <c r="FQU46" s="80"/>
      <c r="FQV46" s="80"/>
      <c r="FQW46" s="80"/>
      <c r="FQX46" s="80"/>
      <c r="FQY46" s="80"/>
      <c r="FQZ46" s="80"/>
      <c r="FRA46" s="80"/>
      <c r="FRB46" s="80"/>
      <c r="FRC46" s="80"/>
      <c r="FRD46" s="80"/>
      <c r="FRE46" s="80"/>
      <c r="FRF46" s="80"/>
      <c r="FRG46" s="80"/>
      <c r="FRH46" s="80"/>
      <c r="FRI46" s="80"/>
      <c r="FRJ46" s="80"/>
      <c r="FRK46" s="80"/>
      <c r="FRL46" s="80"/>
      <c r="FRM46" s="80"/>
      <c r="FRN46" s="80"/>
      <c r="FRO46" s="80"/>
      <c r="FRP46" s="80"/>
      <c r="FRQ46" s="80"/>
      <c r="FRR46" s="80"/>
      <c r="FRS46" s="80"/>
      <c r="FRT46" s="80"/>
      <c r="FRU46" s="80"/>
      <c r="FRV46" s="80"/>
      <c r="FRW46" s="80"/>
      <c r="FRX46" s="80"/>
      <c r="FRY46" s="80"/>
      <c r="FRZ46" s="80"/>
      <c r="FSA46" s="80"/>
      <c r="FSB46" s="80"/>
      <c r="FSC46" s="80"/>
      <c r="FSD46" s="80"/>
      <c r="FSE46" s="80"/>
      <c r="FSF46" s="80"/>
      <c r="FSG46" s="80"/>
      <c r="FSH46" s="80"/>
      <c r="FSI46" s="80"/>
      <c r="FSJ46" s="80"/>
      <c r="FSK46" s="80"/>
      <c r="FSL46" s="80"/>
      <c r="FSM46" s="80"/>
      <c r="FSN46" s="80"/>
      <c r="FSO46" s="80"/>
      <c r="FSP46" s="80"/>
      <c r="FSQ46" s="80"/>
      <c r="FSR46" s="80"/>
      <c r="FSS46" s="80"/>
      <c r="FST46" s="80"/>
      <c r="FSU46" s="80"/>
      <c r="FSV46" s="80"/>
      <c r="FSW46" s="80"/>
      <c r="FSX46" s="80"/>
      <c r="FSY46" s="80"/>
      <c r="FSZ46" s="80"/>
      <c r="FTA46" s="80"/>
      <c r="FTB46" s="80"/>
      <c r="FTC46" s="80"/>
      <c r="FTD46" s="80"/>
      <c r="FTE46" s="80"/>
      <c r="FTF46" s="80"/>
      <c r="FTG46" s="80"/>
      <c r="FTH46" s="80"/>
      <c r="FTI46" s="80"/>
      <c r="FTJ46" s="80"/>
      <c r="FTK46" s="80"/>
      <c r="FTL46" s="80"/>
      <c r="FTM46" s="80"/>
      <c r="FTN46" s="80"/>
      <c r="FTO46" s="80"/>
      <c r="FTP46" s="80"/>
      <c r="FTQ46" s="80"/>
      <c r="FTR46" s="80"/>
      <c r="FTS46" s="80"/>
      <c r="FTT46" s="80"/>
      <c r="FTU46" s="80"/>
      <c r="FTV46" s="80"/>
      <c r="FTW46" s="80"/>
      <c r="FTX46" s="80"/>
      <c r="FTY46" s="80"/>
      <c r="FTZ46" s="80"/>
      <c r="FUA46" s="80"/>
      <c r="FUB46" s="80"/>
      <c r="FUC46" s="80"/>
      <c r="FUD46" s="80"/>
      <c r="FUE46" s="80"/>
      <c r="FUF46" s="80"/>
      <c r="FUG46" s="80"/>
      <c r="FUH46" s="80"/>
      <c r="FUI46" s="80"/>
      <c r="FUJ46" s="80"/>
      <c r="FUK46" s="80"/>
      <c r="FUL46" s="80"/>
      <c r="FUM46" s="80"/>
      <c r="FUN46" s="80"/>
      <c r="FUO46" s="80"/>
      <c r="FUP46" s="80"/>
      <c r="FUQ46" s="80"/>
      <c r="FUR46" s="80"/>
      <c r="FUS46" s="80"/>
      <c r="FUT46" s="80"/>
      <c r="FUU46" s="80"/>
      <c r="FUV46" s="80"/>
      <c r="FUW46" s="80"/>
      <c r="FUX46" s="80"/>
      <c r="FUY46" s="80"/>
      <c r="FUZ46" s="80"/>
      <c r="FVA46" s="80"/>
      <c r="FVB46" s="80"/>
      <c r="FVC46" s="80"/>
      <c r="FVD46" s="80"/>
      <c r="FVE46" s="80"/>
      <c r="FVF46" s="80"/>
      <c r="FVG46" s="80"/>
      <c r="FVH46" s="80"/>
      <c r="FVI46" s="80"/>
      <c r="FVJ46" s="80"/>
      <c r="FVK46" s="80"/>
      <c r="FVL46" s="80"/>
      <c r="FVM46" s="80"/>
      <c r="FVN46" s="80"/>
      <c r="FVO46" s="80"/>
      <c r="FVP46" s="80"/>
      <c r="FVQ46" s="80"/>
      <c r="FVR46" s="80"/>
      <c r="FVS46" s="80"/>
      <c r="FVT46" s="80"/>
      <c r="FVU46" s="80"/>
      <c r="FVV46" s="80"/>
      <c r="FVW46" s="80"/>
      <c r="FVX46" s="80"/>
      <c r="FVY46" s="80"/>
      <c r="FVZ46" s="80"/>
      <c r="FWA46" s="80"/>
      <c r="FWB46" s="80"/>
      <c r="FWC46" s="80"/>
      <c r="FWD46" s="80"/>
      <c r="FWE46" s="80"/>
      <c r="FWF46" s="80"/>
      <c r="FWG46" s="80"/>
      <c r="FWH46" s="80"/>
      <c r="FWI46" s="80"/>
      <c r="FWJ46" s="80"/>
      <c r="FWK46" s="80"/>
      <c r="FWL46" s="80"/>
      <c r="FWM46" s="80"/>
      <c r="FWN46" s="80"/>
      <c r="FWO46" s="80"/>
      <c r="FWP46" s="80"/>
      <c r="FWQ46" s="80"/>
      <c r="FWR46" s="80"/>
      <c r="FWS46" s="80"/>
      <c r="FWT46" s="80"/>
      <c r="FWU46" s="80"/>
      <c r="FWV46" s="80"/>
      <c r="FWW46" s="80"/>
      <c r="FWX46" s="80"/>
      <c r="FWY46" s="80"/>
      <c r="FWZ46" s="80"/>
      <c r="FXA46" s="80"/>
      <c r="FXB46" s="80"/>
      <c r="FXC46" s="80"/>
      <c r="FXD46" s="80"/>
      <c r="FXE46" s="80"/>
      <c r="FXF46" s="80"/>
      <c r="FXG46" s="80"/>
      <c r="FXH46" s="80"/>
      <c r="FXI46" s="80"/>
      <c r="FXJ46" s="80"/>
      <c r="FXK46" s="80"/>
      <c r="FXL46" s="80"/>
      <c r="FXM46" s="80"/>
      <c r="FXN46" s="80"/>
      <c r="FXO46" s="80"/>
      <c r="FXP46" s="80"/>
      <c r="FXQ46" s="80"/>
      <c r="FXR46" s="80"/>
      <c r="FXS46" s="80"/>
      <c r="FXT46" s="80"/>
      <c r="FXU46" s="80"/>
      <c r="FXV46" s="80"/>
      <c r="FXW46" s="80"/>
      <c r="FXX46" s="80"/>
      <c r="FXY46" s="80"/>
      <c r="FXZ46" s="80"/>
      <c r="FYA46" s="80"/>
      <c r="FYB46" s="80"/>
      <c r="FYC46" s="80"/>
      <c r="FYD46" s="80"/>
      <c r="FYE46" s="80"/>
      <c r="FYF46" s="80"/>
      <c r="FYG46" s="80"/>
      <c r="FYH46" s="80"/>
      <c r="FYI46" s="80"/>
      <c r="FYJ46" s="80"/>
      <c r="FYK46" s="80"/>
      <c r="FYL46" s="80"/>
      <c r="FYM46" s="80"/>
      <c r="FYN46" s="80"/>
      <c r="FYO46" s="80"/>
      <c r="FYP46" s="80"/>
      <c r="FYQ46" s="80"/>
      <c r="FYR46" s="80"/>
      <c r="FYS46" s="80"/>
      <c r="FYT46" s="80"/>
      <c r="FYU46" s="80"/>
      <c r="FYV46" s="80"/>
      <c r="FYW46" s="80"/>
      <c r="FYX46" s="80"/>
      <c r="FYY46" s="80"/>
      <c r="FYZ46" s="80"/>
      <c r="FZA46" s="80"/>
      <c r="FZB46" s="80"/>
      <c r="FZC46" s="80"/>
      <c r="FZD46" s="80"/>
      <c r="FZE46" s="80"/>
      <c r="FZF46" s="80"/>
      <c r="FZG46" s="80"/>
      <c r="FZH46" s="80"/>
      <c r="FZI46" s="80"/>
      <c r="FZJ46" s="80"/>
      <c r="FZK46" s="80"/>
      <c r="FZL46" s="80"/>
      <c r="FZM46" s="80"/>
      <c r="FZN46" s="80"/>
      <c r="FZO46" s="80"/>
      <c r="FZP46" s="80"/>
      <c r="FZQ46" s="80"/>
      <c r="FZR46" s="80"/>
      <c r="FZS46" s="80"/>
      <c r="FZT46" s="80"/>
      <c r="FZU46" s="80"/>
      <c r="FZV46" s="80"/>
      <c r="FZW46" s="80"/>
      <c r="FZX46" s="80"/>
      <c r="FZY46" s="80"/>
      <c r="FZZ46" s="80"/>
      <c r="GAA46" s="80"/>
      <c r="GAB46" s="80"/>
      <c r="GAC46" s="80"/>
      <c r="GAD46" s="80"/>
      <c r="GAE46" s="80"/>
      <c r="GAF46" s="80"/>
      <c r="GAG46" s="80"/>
      <c r="GAH46" s="80"/>
      <c r="GAI46" s="80"/>
      <c r="GAJ46" s="80"/>
      <c r="GAK46" s="80"/>
      <c r="GAL46" s="80"/>
      <c r="GAM46" s="80"/>
      <c r="GAN46" s="80"/>
      <c r="GAO46" s="80"/>
      <c r="GAP46" s="80"/>
      <c r="GAQ46" s="80"/>
      <c r="GAR46" s="80"/>
      <c r="GAS46" s="80"/>
      <c r="GAT46" s="80"/>
      <c r="GAU46" s="80"/>
      <c r="GAV46" s="80"/>
      <c r="GAW46" s="80"/>
      <c r="GAX46" s="80"/>
      <c r="GAY46" s="80"/>
      <c r="GAZ46" s="80"/>
      <c r="GBA46" s="80"/>
      <c r="GBB46" s="80"/>
      <c r="GBC46" s="80"/>
      <c r="GBD46" s="80"/>
      <c r="GBE46" s="80"/>
      <c r="GBF46" s="80"/>
      <c r="GBG46" s="80"/>
      <c r="GBH46" s="80"/>
      <c r="GBI46" s="80"/>
      <c r="GBJ46" s="80"/>
      <c r="GBK46" s="80"/>
      <c r="GBL46" s="80"/>
      <c r="GBM46" s="80"/>
      <c r="GBN46" s="80"/>
      <c r="GBO46" s="80"/>
      <c r="GBP46" s="80"/>
      <c r="GBQ46" s="80"/>
      <c r="GBR46" s="80"/>
      <c r="GBS46" s="80"/>
      <c r="GBT46" s="80"/>
      <c r="GBU46" s="80"/>
      <c r="GBV46" s="80"/>
      <c r="GBW46" s="80"/>
      <c r="GBX46" s="80"/>
      <c r="GBY46" s="80"/>
      <c r="GBZ46" s="80"/>
      <c r="GCA46" s="80"/>
      <c r="GCB46" s="80"/>
      <c r="GCC46" s="80"/>
      <c r="GCD46" s="80"/>
      <c r="GCE46" s="80"/>
      <c r="GCF46" s="80"/>
      <c r="GCG46" s="80"/>
      <c r="GCH46" s="80"/>
      <c r="GCI46" s="80"/>
      <c r="GCJ46" s="80"/>
      <c r="GCK46" s="80"/>
      <c r="GCL46" s="80"/>
      <c r="GCM46" s="80"/>
      <c r="GCN46" s="80"/>
      <c r="GCO46" s="80"/>
      <c r="GCP46" s="80"/>
      <c r="GCQ46" s="80"/>
      <c r="GCR46" s="80"/>
      <c r="GCS46" s="80"/>
      <c r="GCT46" s="80"/>
      <c r="GCU46" s="80"/>
      <c r="GCV46" s="80"/>
      <c r="GCW46" s="80"/>
      <c r="GCX46" s="80"/>
      <c r="GCY46" s="80"/>
      <c r="GCZ46" s="80"/>
      <c r="GDA46" s="80"/>
      <c r="GDB46" s="80"/>
      <c r="GDC46" s="80"/>
      <c r="GDD46" s="80"/>
      <c r="GDE46" s="80"/>
      <c r="GDF46" s="80"/>
      <c r="GDG46" s="80"/>
      <c r="GDH46" s="80"/>
      <c r="GDI46" s="80"/>
      <c r="GDJ46" s="80"/>
      <c r="GDK46" s="80"/>
      <c r="GDL46" s="80"/>
      <c r="GDM46" s="80"/>
      <c r="GDN46" s="80"/>
      <c r="GDO46" s="80"/>
      <c r="GDP46" s="80"/>
      <c r="GDQ46" s="80"/>
      <c r="GDR46" s="80"/>
      <c r="GDS46" s="80"/>
      <c r="GDT46" s="80"/>
      <c r="GDU46" s="80"/>
      <c r="GDV46" s="80"/>
      <c r="GDW46" s="80"/>
      <c r="GDX46" s="80"/>
      <c r="GDY46" s="80"/>
      <c r="GDZ46" s="80"/>
      <c r="GEA46" s="80"/>
      <c r="GEB46" s="80"/>
      <c r="GEC46" s="80"/>
      <c r="GED46" s="80"/>
      <c r="GEE46" s="80"/>
      <c r="GEF46" s="80"/>
      <c r="GEG46" s="80"/>
      <c r="GEH46" s="80"/>
      <c r="GEI46" s="80"/>
      <c r="GEJ46" s="80"/>
      <c r="GEK46" s="80"/>
      <c r="GEL46" s="80"/>
      <c r="GEM46" s="80"/>
      <c r="GEN46" s="80"/>
      <c r="GEO46" s="80"/>
      <c r="GEP46" s="80"/>
      <c r="GEQ46" s="80"/>
      <c r="GER46" s="80"/>
      <c r="GES46" s="80"/>
      <c r="GET46" s="80"/>
      <c r="GEU46" s="80"/>
      <c r="GEV46" s="80"/>
      <c r="GEW46" s="80"/>
      <c r="GEX46" s="80"/>
      <c r="GEY46" s="80"/>
      <c r="GEZ46" s="80"/>
      <c r="GFA46" s="80"/>
      <c r="GFB46" s="80"/>
      <c r="GFC46" s="80"/>
      <c r="GFD46" s="80"/>
      <c r="GFE46" s="80"/>
      <c r="GFF46" s="80"/>
      <c r="GFG46" s="80"/>
      <c r="GFH46" s="80"/>
      <c r="GFI46" s="80"/>
      <c r="GFJ46" s="80"/>
      <c r="GFK46" s="80"/>
      <c r="GFL46" s="80"/>
      <c r="GFM46" s="80"/>
      <c r="GFN46" s="80"/>
      <c r="GFO46" s="80"/>
      <c r="GFP46" s="80"/>
      <c r="GFQ46" s="80"/>
      <c r="GFR46" s="80"/>
      <c r="GFS46" s="80"/>
      <c r="GFT46" s="80"/>
      <c r="GFU46" s="80"/>
      <c r="GFV46" s="80"/>
      <c r="GFW46" s="80"/>
      <c r="GFX46" s="80"/>
      <c r="GFY46" s="80"/>
      <c r="GFZ46" s="80"/>
      <c r="GGA46" s="80"/>
      <c r="GGB46" s="80"/>
      <c r="GGC46" s="80"/>
      <c r="GGD46" s="80"/>
      <c r="GGE46" s="80"/>
      <c r="GGF46" s="80"/>
      <c r="GGG46" s="80"/>
      <c r="GGH46" s="80"/>
      <c r="GGI46" s="80"/>
      <c r="GGJ46" s="80"/>
      <c r="GGK46" s="80"/>
      <c r="GGL46" s="80"/>
      <c r="GGM46" s="80"/>
      <c r="GGN46" s="80"/>
      <c r="GGO46" s="80"/>
      <c r="GGP46" s="80"/>
      <c r="GGQ46" s="80"/>
      <c r="GGR46" s="80"/>
      <c r="GGS46" s="80"/>
      <c r="GGT46" s="80"/>
      <c r="GGU46" s="80"/>
      <c r="GGV46" s="80"/>
      <c r="GGW46" s="80"/>
      <c r="GGX46" s="80"/>
      <c r="GGY46" s="80"/>
      <c r="GGZ46" s="80"/>
      <c r="GHA46" s="80"/>
      <c r="GHB46" s="80"/>
      <c r="GHC46" s="80"/>
      <c r="GHD46" s="80"/>
      <c r="GHE46" s="80"/>
      <c r="GHF46" s="80"/>
      <c r="GHG46" s="80"/>
      <c r="GHH46" s="80"/>
      <c r="GHI46" s="80"/>
      <c r="GHJ46" s="80"/>
      <c r="GHK46" s="80"/>
      <c r="GHL46" s="80"/>
      <c r="GHM46" s="80"/>
      <c r="GHN46" s="80"/>
      <c r="GHO46" s="80"/>
      <c r="GHP46" s="80"/>
      <c r="GHQ46" s="80"/>
      <c r="GHR46" s="80"/>
      <c r="GHS46" s="80"/>
      <c r="GHT46" s="80"/>
      <c r="GHU46" s="80"/>
      <c r="GHV46" s="80"/>
      <c r="GHW46" s="80"/>
      <c r="GHX46" s="80"/>
      <c r="GHY46" s="80"/>
      <c r="GHZ46" s="80"/>
      <c r="GIA46" s="80"/>
      <c r="GIB46" s="80"/>
      <c r="GIC46" s="80"/>
      <c r="GID46" s="80"/>
      <c r="GIE46" s="80"/>
      <c r="GIF46" s="80"/>
      <c r="GIG46" s="80"/>
      <c r="GIH46" s="80"/>
      <c r="GII46" s="80"/>
      <c r="GIJ46" s="80"/>
      <c r="GIK46" s="80"/>
      <c r="GIL46" s="80"/>
      <c r="GIM46" s="80"/>
      <c r="GIN46" s="80"/>
      <c r="GIO46" s="80"/>
      <c r="GIP46" s="80"/>
      <c r="GIQ46" s="80"/>
      <c r="GIR46" s="80"/>
      <c r="GIS46" s="80"/>
      <c r="GIT46" s="80"/>
      <c r="GIU46" s="80"/>
      <c r="GIV46" s="80"/>
      <c r="GIW46" s="80"/>
      <c r="GIX46" s="80"/>
      <c r="GIY46" s="80"/>
      <c r="GIZ46" s="80"/>
      <c r="GJA46" s="80"/>
      <c r="GJB46" s="80"/>
      <c r="GJC46" s="80"/>
      <c r="GJD46" s="80"/>
      <c r="GJE46" s="80"/>
      <c r="GJF46" s="80"/>
      <c r="GJG46" s="80"/>
      <c r="GJH46" s="80"/>
      <c r="GJI46" s="80"/>
      <c r="GJJ46" s="80"/>
      <c r="GJK46" s="80"/>
      <c r="GJL46" s="80"/>
      <c r="GJM46" s="80"/>
      <c r="GJN46" s="80"/>
      <c r="GJO46" s="80"/>
      <c r="GJP46" s="80"/>
      <c r="GJQ46" s="80"/>
      <c r="GJR46" s="80"/>
      <c r="GJS46" s="80"/>
      <c r="GJT46" s="80"/>
      <c r="GJU46" s="80"/>
      <c r="GJV46" s="80"/>
      <c r="GJW46" s="80"/>
      <c r="GJX46" s="80"/>
      <c r="GJY46" s="80"/>
      <c r="GJZ46" s="80"/>
      <c r="GKA46" s="80"/>
      <c r="GKB46" s="80"/>
      <c r="GKC46" s="80"/>
      <c r="GKD46" s="80"/>
      <c r="GKE46" s="80"/>
      <c r="GKF46" s="80"/>
      <c r="GKG46" s="80"/>
      <c r="GKH46" s="80"/>
      <c r="GKI46" s="80"/>
      <c r="GKJ46" s="80"/>
      <c r="GKK46" s="80"/>
      <c r="GKL46" s="80"/>
      <c r="GKM46" s="80"/>
      <c r="GKN46" s="80"/>
      <c r="GKO46" s="80"/>
      <c r="GKP46" s="80"/>
      <c r="GKQ46" s="80"/>
      <c r="GKR46" s="80"/>
      <c r="GKS46" s="80"/>
      <c r="GKT46" s="80"/>
      <c r="GKU46" s="80"/>
      <c r="GKV46" s="80"/>
      <c r="GKW46" s="80"/>
      <c r="GKX46" s="80"/>
      <c r="GKY46" s="80"/>
      <c r="GKZ46" s="80"/>
      <c r="GLA46" s="80"/>
      <c r="GLB46" s="80"/>
      <c r="GLC46" s="80"/>
      <c r="GLD46" s="80"/>
      <c r="GLE46" s="80"/>
      <c r="GLF46" s="80"/>
      <c r="GLG46" s="80"/>
      <c r="GLH46" s="80"/>
      <c r="GLI46" s="80"/>
      <c r="GLJ46" s="80"/>
      <c r="GLK46" s="80"/>
      <c r="GLL46" s="80"/>
      <c r="GLM46" s="80"/>
      <c r="GLN46" s="80"/>
      <c r="GLO46" s="80"/>
      <c r="GLP46" s="80"/>
      <c r="GLQ46" s="80"/>
      <c r="GLR46" s="80"/>
      <c r="GLS46" s="80"/>
      <c r="GLT46" s="80"/>
      <c r="GLU46" s="80"/>
      <c r="GLV46" s="80"/>
      <c r="GLW46" s="80"/>
      <c r="GLX46" s="80"/>
      <c r="GLY46" s="80"/>
      <c r="GLZ46" s="80"/>
      <c r="GMA46" s="80"/>
      <c r="GMB46" s="80"/>
      <c r="GMC46" s="80"/>
      <c r="GMD46" s="80"/>
      <c r="GME46" s="80"/>
      <c r="GMF46" s="80"/>
      <c r="GMG46" s="80"/>
      <c r="GMH46" s="80"/>
      <c r="GMI46" s="80"/>
      <c r="GMJ46" s="80"/>
      <c r="GMK46" s="80"/>
      <c r="GML46" s="80"/>
      <c r="GMM46" s="80"/>
      <c r="GMN46" s="80"/>
      <c r="GMO46" s="80"/>
      <c r="GMP46" s="80"/>
      <c r="GMQ46" s="80"/>
      <c r="GMR46" s="80"/>
      <c r="GMS46" s="80"/>
      <c r="GMT46" s="80"/>
      <c r="GMU46" s="80"/>
      <c r="GMV46" s="80"/>
      <c r="GMW46" s="80"/>
      <c r="GMX46" s="80"/>
      <c r="GMY46" s="80"/>
      <c r="GMZ46" s="80"/>
      <c r="GNA46" s="80"/>
      <c r="GNB46" s="80"/>
      <c r="GNC46" s="80"/>
      <c r="GND46" s="80"/>
      <c r="GNE46" s="80"/>
      <c r="GNF46" s="80"/>
      <c r="GNG46" s="80"/>
      <c r="GNH46" s="80"/>
      <c r="GNI46" s="80"/>
      <c r="GNJ46" s="80"/>
      <c r="GNK46" s="80"/>
      <c r="GNL46" s="80"/>
      <c r="GNM46" s="80"/>
      <c r="GNN46" s="80"/>
      <c r="GNO46" s="80"/>
      <c r="GNP46" s="80"/>
      <c r="GNQ46" s="80"/>
      <c r="GNR46" s="80"/>
      <c r="GNS46" s="80"/>
      <c r="GNT46" s="80"/>
      <c r="GNU46" s="80"/>
      <c r="GNV46" s="80"/>
      <c r="GNW46" s="80"/>
      <c r="GNX46" s="80"/>
      <c r="GNY46" s="80"/>
      <c r="GNZ46" s="80"/>
      <c r="GOA46" s="80"/>
      <c r="GOB46" s="80"/>
      <c r="GOC46" s="80"/>
      <c r="GOD46" s="80"/>
      <c r="GOE46" s="80"/>
      <c r="GOF46" s="80"/>
      <c r="GOG46" s="80"/>
      <c r="GOH46" s="80"/>
      <c r="GOI46" s="80"/>
      <c r="GOJ46" s="80"/>
      <c r="GOK46" s="80"/>
      <c r="GOL46" s="80"/>
      <c r="GOM46" s="80"/>
      <c r="GON46" s="80"/>
      <c r="GOO46" s="80"/>
      <c r="GOP46" s="80"/>
      <c r="GOQ46" s="80"/>
      <c r="GOR46" s="80"/>
      <c r="GOS46" s="80"/>
      <c r="GOT46" s="80"/>
      <c r="GOU46" s="80"/>
      <c r="GOV46" s="80"/>
      <c r="GOW46" s="80"/>
      <c r="GOX46" s="80"/>
      <c r="GOY46" s="80"/>
      <c r="GOZ46" s="80"/>
      <c r="GPA46" s="80"/>
      <c r="GPB46" s="80"/>
      <c r="GPC46" s="80"/>
      <c r="GPD46" s="80"/>
      <c r="GPE46" s="80"/>
      <c r="GPF46" s="80"/>
      <c r="GPG46" s="80"/>
      <c r="GPH46" s="80"/>
      <c r="GPI46" s="80"/>
      <c r="GPJ46" s="80"/>
      <c r="GPK46" s="80"/>
      <c r="GPL46" s="80"/>
      <c r="GPM46" s="80"/>
      <c r="GPN46" s="80"/>
      <c r="GPO46" s="80"/>
      <c r="GPP46" s="80"/>
      <c r="GPQ46" s="80"/>
      <c r="GPR46" s="80"/>
      <c r="GPS46" s="80"/>
      <c r="GPT46" s="80"/>
      <c r="GPU46" s="80"/>
      <c r="GPV46" s="80"/>
      <c r="GPW46" s="80"/>
      <c r="GPX46" s="80"/>
      <c r="GPY46" s="80"/>
      <c r="GPZ46" s="80"/>
      <c r="GQA46" s="80"/>
      <c r="GQB46" s="80"/>
      <c r="GQC46" s="80"/>
      <c r="GQD46" s="80"/>
      <c r="GQE46" s="80"/>
      <c r="GQF46" s="80"/>
      <c r="GQG46" s="80"/>
      <c r="GQH46" s="80"/>
      <c r="GQI46" s="80"/>
      <c r="GQJ46" s="80"/>
      <c r="GQK46" s="80"/>
      <c r="GQL46" s="80"/>
      <c r="GQM46" s="80"/>
      <c r="GQN46" s="80"/>
      <c r="GQO46" s="80"/>
      <c r="GQP46" s="80"/>
      <c r="GQQ46" s="80"/>
      <c r="GQR46" s="80"/>
      <c r="GQS46" s="80"/>
      <c r="GQT46" s="80"/>
      <c r="GQU46" s="80"/>
      <c r="GQV46" s="80"/>
      <c r="GQW46" s="80"/>
      <c r="GQX46" s="80"/>
      <c r="GQY46" s="80"/>
      <c r="GQZ46" s="80"/>
      <c r="GRA46" s="80"/>
      <c r="GRB46" s="80"/>
      <c r="GRC46" s="80"/>
      <c r="GRD46" s="80"/>
      <c r="GRE46" s="80"/>
      <c r="GRF46" s="80"/>
      <c r="GRG46" s="80"/>
      <c r="GRH46" s="80"/>
      <c r="GRI46" s="80"/>
      <c r="GRJ46" s="80"/>
      <c r="GRK46" s="80"/>
      <c r="GRL46" s="80"/>
      <c r="GRM46" s="80"/>
      <c r="GRN46" s="80"/>
      <c r="GRO46" s="80"/>
      <c r="GRP46" s="80"/>
      <c r="GRQ46" s="80"/>
      <c r="GRR46" s="80"/>
      <c r="GRS46" s="80"/>
      <c r="GRT46" s="80"/>
      <c r="GRU46" s="80"/>
      <c r="GRV46" s="80"/>
      <c r="GRW46" s="80"/>
      <c r="GRX46" s="80"/>
      <c r="GRY46" s="80"/>
      <c r="GRZ46" s="80"/>
      <c r="GSA46" s="80"/>
      <c r="GSB46" s="80"/>
      <c r="GSC46" s="80"/>
      <c r="GSD46" s="80"/>
      <c r="GSE46" s="80"/>
      <c r="GSF46" s="80"/>
      <c r="GSG46" s="80"/>
      <c r="GSH46" s="80"/>
      <c r="GSI46" s="80"/>
      <c r="GSJ46" s="80"/>
      <c r="GSK46" s="80"/>
      <c r="GSL46" s="80"/>
      <c r="GSM46" s="80"/>
      <c r="GSN46" s="80"/>
      <c r="GSO46" s="80"/>
      <c r="GSP46" s="80"/>
      <c r="GSQ46" s="80"/>
      <c r="GSR46" s="80"/>
      <c r="GSS46" s="80"/>
      <c r="GST46" s="80"/>
      <c r="GSU46" s="80"/>
      <c r="GSV46" s="80"/>
      <c r="GSW46" s="80"/>
      <c r="GSX46" s="80"/>
      <c r="GSY46" s="80"/>
      <c r="GSZ46" s="80"/>
      <c r="GTA46" s="80"/>
      <c r="GTB46" s="80"/>
      <c r="GTC46" s="80"/>
      <c r="GTD46" s="80"/>
      <c r="GTE46" s="80"/>
      <c r="GTF46" s="80"/>
      <c r="GTG46" s="80"/>
      <c r="GTH46" s="80"/>
      <c r="GTI46" s="80"/>
      <c r="GTJ46" s="80"/>
      <c r="GTK46" s="80"/>
      <c r="GTL46" s="80"/>
      <c r="GTM46" s="80"/>
      <c r="GTN46" s="80"/>
      <c r="GTO46" s="80"/>
      <c r="GTP46" s="80"/>
      <c r="GTQ46" s="80"/>
      <c r="GTR46" s="80"/>
      <c r="GTS46" s="80"/>
      <c r="GTT46" s="80"/>
      <c r="GTU46" s="80"/>
      <c r="GTV46" s="80"/>
      <c r="GTW46" s="80"/>
      <c r="GTX46" s="80"/>
      <c r="GTY46" s="80"/>
      <c r="GTZ46" s="80"/>
      <c r="GUA46" s="80"/>
      <c r="GUB46" s="80"/>
      <c r="GUC46" s="80"/>
      <c r="GUD46" s="80"/>
      <c r="GUE46" s="80"/>
      <c r="GUF46" s="80"/>
      <c r="GUG46" s="80"/>
      <c r="GUH46" s="80"/>
      <c r="GUI46" s="80"/>
      <c r="GUJ46" s="80"/>
      <c r="GUK46" s="80"/>
      <c r="GUL46" s="80"/>
      <c r="GUM46" s="80"/>
      <c r="GUN46" s="80"/>
      <c r="GUO46" s="80"/>
      <c r="GUP46" s="80"/>
      <c r="GUQ46" s="80"/>
      <c r="GUR46" s="80"/>
      <c r="GUS46" s="80"/>
      <c r="GUT46" s="80"/>
      <c r="GUU46" s="80"/>
      <c r="GUV46" s="80"/>
      <c r="GUW46" s="80"/>
      <c r="GUX46" s="80"/>
      <c r="GUY46" s="80"/>
      <c r="GUZ46" s="80"/>
      <c r="GVA46" s="80"/>
      <c r="GVB46" s="80"/>
      <c r="GVC46" s="80"/>
      <c r="GVD46" s="80"/>
      <c r="GVE46" s="80"/>
      <c r="GVF46" s="80"/>
      <c r="GVG46" s="80"/>
      <c r="GVH46" s="80"/>
      <c r="GVI46" s="80"/>
      <c r="GVJ46" s="80"/>
      <c r="GVK46" s="80"/>
      <c r="GVL46" s="80"/>
      <c r="GVM46" s="80"/>
      <c r="GVN46" s="80"/>
      <c r="GVO46" s="80"/>
      <c r="GVP46" s="80"/>
      <c r="GVQ46" s="80"/>
      <c r="GVR46" s="80"/>
      <c r="GVS46" s="80"/>
      <c r="GVT46" s="80"/>
      <c r="GVU46" s="80"/>
      <c r="GVV46" s="80"/>
      <c r="GVW46" s="80"/>
      <c r="GVX46" s="80"/>
      <c r="GVY46" s="80"/>
      <c r="GVZ46" s="80"/>
      <c r="GWA46" s="80"/>
      <c r="GWB46" s="80"/>
      <c r="GWC46" s="80"/>
      <c r="GWD46" s="80"/>
      <c r="GWE46" s="80"/>
      <c r="GWF46" s="80"/>
      <c r="GWG46" s="80"/>
      <c r="GWH46" s="80"/>
      <c r="GWI46" s="80"/>
      <c r="GWJ46" s="80"/>
      <c r="GWK46" s="80"/>
      <c r="GWL46" s="80"/>
      <c r="GWM46" s="80"/>
      <c r="GWN46" s="80"/>
      <c r="GWO46" s="80"/>
      <c r="GWP46" s="80"/>
      <c r="GWQ46" s="80"/>
      <c r="GWR46" s="80"/>
      <c r="GWS46" s="80"/>
      <c r="GWT46" s="80"/>
      <c r="GWU46" s="80"/>
      <c r="GWV46" s="80"/>
      <c r="GWW46" s="80"/>
      <c r="GWX46" s="80"/>
      <c r="GWY46" s="80"/>
      <c r="GWZ46" s="80"/>
      <c r="GXA46" s="80"/>
      <c r="GXB46" s="80"/>
      <c r="GXC46" s="80"/>
      <c r="GXD46" s="80"/>
      <c r="GXE46" s="80"/>
      <c r="GXF46" s="80"/>
      <c r="GXG46" s="80"/>
      <c r="GXH46" s="80"/>
      <c r="GXI46" s="80"/>
      <c r="GXJ46" s="80"/>
      <c r="GXK46" s="80"/>
      <c r="GXL46" s="80"/>
      <c r="GXM46" s="80"/>
      <c r="GXN46" s="80"/>
      <c r="GXO46" s="80"/>
      <c r="GXP46" s="80"/>
      <c r="GXQ46" s="80"/>
      <c r="GXR46" s="80"/>
      <c r="GXS46" s="80"/>
      <c r="GXT46" s="80"/>
      <c r="GXU46" s="80"/>
      <c r="GXV46" s="80"/>
      <c r="GXW46" s="80"/>
      <c r="GXX46" s="80"/>
      <c r="GXY46" s="80"/>
      <c r="GXZ46" s="80"/>
      <c r="GYA46" s="80"/>
      <c r="GYB46" s="80"/>
      <c r="GYC46" s="80"/>
      <c r="GYD46" s="80"/>
      <c r="GYE46" s="80"/>
      <c r="GYF46" s="80"/>
      <c r="GYG46" s="80"/>
      <c r="GYH46" s="80"/>
      <c r="GYI46" s="80"/>
      <c r="GYJ46" s="80"/>
      <c r="GYK46" s="80"/>
      <c r="GYL46" s="80"/>
      <c r="GYM46" s="80"/>
      <c r="GYN46" s="80"/>
      <c r="GYO46" s="80"/>
      <c r="GYP46" s="80"/>
      <c r="GYQ46" s="80"/>
      <c r="GYR46" s="80"/>
      <c r="GYS46" s="80"/>
      <c r="GYT46" s="80"/>
      <c r="GYU46" s="80"/>
      <c r="GYV46" s="80"/>
      <c r="GYW46" s="80"/>
      <c r="GYX46" s="80"/>
      <c r="GYY46" s="80"/>
      <c r="GYZ46" s="80"/>
      <c r="GZA46" s="80"/>
      <c r="GZB46" s="80"/>
      <c r="GZC46" s="80"/>
      <c r="GZD46" s="80"/>
      <c r="GZE46" s="80"/>
      <c r="GZF46" s="80"/>
      <c r="GZG46" s="80"/>
      <c r="GZH46" s="80"/>
      <c r="GZI46" s="80"/>
      <c r="GZJ46" s="80"/>
      <c r="GZK46" s="80"/>
      <c r="GZL46" s="80"/>
      <c r="GZM46" s="80"/>
      <c r="GZN46" s="80"/>
      <c r="GZO46" s="80"/>
      <c r="GZP46" s="80"/>
      <c r="GZQ46" s="80"/>
      <c r="GZR46" s="80"/>
      <c r="GZS46" s="80"/>
      <c r="GZT46" s="80"/>
      <c r="GZU46" s="80"/>
      <c r="GZV46" s="80"/>
      <c r="GZW46" s="80"/>
      <c r="GZX46" s="80"/>
      <c r="GZY46" s="80"/>
      <c r="GZZ46" s="80"/>
      <c r="HAA46" s="80"/>
      <c r="HAB46" s="80"/>
      <c r="HAC46" s="80"/>
      <c r="HAD46" s="80"/>
      <c r="HAE46" s="80"/>
      <c r="HAF46" s="80"/>
      <c r="HAG46" s="80"/>
      <c r="HAH46" s="80"/>
      <c r="HAI46" s="80"/>
      <c r="HAJ46" s="80"/>
      <c r="HAK46" s="80"/>
      <c r="HAL46" s="80"/>
      <c r="HAM46" s="80"/>
      <c r="HAN46" s="80"/>
      <c r="HAO46" s="80"/>
      <c r="HAP46" s="80"/>
      <c r="HAQ46" s="80"/>
      <c r="HAR46" s="80"/>
      <c r="HAS46" s="80"/>
      <c r="HAT46" s="80"/>
      <c r="HAU46" s="80"/>
      <c r="HAV46" s="80"/>
      <c r="HAW46" s="80"/>
      <c r="HAX46" s="80"/>
      <c r="HAY46" s="80"/>
      <c r="HAZ46" s="80"/>
      <c r="HBA46" s="80"/>
      <c r="HBB46" s="80"/>
      <c r="HBC46" s="80"/>
      <c r="HBD46" s="80"/>
      <c r="HBE46" s="80"/>
      <c r="HBF46" s="80"/>
      <c r="HBG46" s="80"/>
      <c r="HBH46" s="80"/>
      <c r="HBI46" s="80"/>
      <c r="HBJ46" s="80"/>
      <c r="HBK46" s="80"/>
      <c r="HBL46" s="80"/>
      <c r="HBM46" s="80"/>
      <c r="HBN46" s="80"/>
      <c r="HBO46" s="80"/>
      <c r="HBP46" s="80"/>
      <c r="HBQ46" s="80"/>
      <c r="HBR46" s="80"/>
      <c r="HBS46" s="80"/>
      <c r="HBT46" s="80"/>
      <c r="HBU46" s="80"/>
      <c r="HBV46" s="80"/>
      <c r="HBW46" s="80"/>
      <c r="HBX46" s="80"/>
      <c r="HBY46" s="80"/>
      <c r="HBZ46" s="80"/>
      <c r="HCA46" s="80"/>
      <c r="HCB46" s="80"/>
      <c r="HCC46" s="80"/>
      <c r="HCD46" s="80"/>
      <c r="HCE46" s="80"/>
      <c r="HCF46" s="80"/>
      <c r="HCG46" s="80"/>
      <c r="HCH46" s="80"/>
      <c r="HCI46" s="80"/>
      <c r="HCJ46" s="80"/>
      <c r="HCK46" s="80"/>
      <c r="HCL46" s="80"/>
      <c r="HCM46" s="80"/>
      <c r="HCN46" s="80"/>
      <c r="HCO46" s="80"/>
      <c r="HCP46" s="80"/>
      <c r="HCQ46" s="80"/>
      <c r="HCR46" s="80"/>
      <c r="HCS46" s="80"/>
      <c r="HCT46" s="80"/>
      <c r="HCU46" s="80"/>
      <c r="HCV46" s="80"/>
      <c r="HCW46" s="80"/>
      <c r="HCX46" s="80"/>
      <c r="HCY46" s="80"/>
      <c r="HCZ46" s="80"/>
      <c r="HDA46" s="80"/>
      <c r="HDB46" s="80"/>
      <c r="HDC46" s="80"/>
      <c r="HDD46" s="80"/>
      <c r="HDE46" s="80"/>
      <c r="HDF46" s="80"/>
      <c r="HDG46" s="80"/>
      <c r="HDH46" s="80"/>
      <c r="HDI46" s="80"/>
      <c r="HDJ46" s="80"/>
      <c r="HDK46" s="80"/>
      <c r="HDL46" s="80"/>
      <c r="HDM46" s="80"/>
      <c r="HDN46" s="80"/>
      <c r="HDO46" s="80"/>
      <c r="HDP46" s="80"/>
      <c r="HDQ46" s="80"/>
      <c r="HDR46" s="80"/>
      <c r="HDS46" s="80"/>
      <c r="HDT46" s="80"/>
      <c r="HDU46" s="80"/>
      <c r="HDV46" s="80"/>
      <c r="HDW46" s="80"/>
      <c r="HDX46" s="80"/>
      <c r="HDY46" s="80"/>
      <c r="HDZ46" s="80"/>
      <c r="HEA46" s="80"/>
      <c r="HEB46" s="80"/>
      <c r="HEC46" s="80"/>
      <c r="HED46" s="80"/>
      <c r="HEE46" s="80"/>
      <c r="HEF46" s="80"/>
      <c r="HEG46" s="80"/>
      <c r="HEH46" s="80"/>
      <c r="HEI46" s="80"/>
      <c r="HEJ46" s="80"/>
      <c r="HEK46" s="80"/>
      <c r="HEL46" s="80"/>
      <c r="HEM46" s="80"/>
      <c r="HEN46" s="80"/>
      <c r="HEO46" s="80"/>
      <c r="HEP46" s="80"/>
      <c r="HEQ46" s="80"/>
      <c r="HER46" s="80"/>
      <c r="HES46" s="80"/>
      <c r="HET46" s="80"/>
      <c r="HEU46" s="80"/>
      <c r="HEV46" s="80"/>
      <c r="HEW46" s="80"/>
      <c r="HEX46" s="80"/>
      <c r="HEY46" s="80"/>
      <c r="HEZ46" s="80"/>
      <c r="HFA46" s="80"/>
      <c r="HFB46" s="80"/>
      <c r="HFC46" s="80"/>
      <c r="HFD46" s="80"/>
      <c r="HFE46" s="80"/>
      <c r="HFF46" s="80"/>
      <c r="HFG46" s="80"/>
      <c r="HFH46" s="80"/>
      <c r="HFI46" s="80"/>
      <c r="HFJ46" s="80"/>
      <c r="HFK46" s="80"/>
      <c r="HFL46" s="80"/>
      <c r="HFM46" s="80"/>
      <c r="HFN46" s="80"/>
      <c r="HFO46" s="80"/>
      <c r="HFP46" s="80"/>
      <c r="HFQ46" s="80"/>
      <c r="HFR46" s="80"/>
      <c r="HFS46" s="80"/>
      <c r="HFT46" s="80"/>
      <c r="HFU46" s="80"/>
      <c r="HFV46" s="80"/>
      <c r="HFW46" s="80"/>
      <c r="HFX46" s="80"/>
      <c r="HFY46" s="80"/>
      <c r="HFZ46" s="80"/>
      <c r="HGA46" s="80"/>
      <c r="HGB46" s="80"/>
      <c r="HGC46" s="80"/>
      <c r="HGD46" s="80"/>
      <c r="HGE46" s="80"/>
      <c r="HGF46" s="80"/>
      <c r="HGG46" s="80"/>
      <c r="HGH46" s="80"/>
      <c r="HGI46" s="80"/>
      <c r="HGJ46" s="80"/>
      <c r="HGK46" s="80"/>
      <c r="HGL46" s="80"/>
      <c r="HGM46" s="80"/>
      <c r="HGN46" s="80"/>
      <c r="HGO46" s="80"/>
      <c r="HGP46" s="80"/>
      <c r="HGQ46" s="80"/>
      <c r="HGR46" s="80"/>
      <c r="HGS46" s="80"/>
      <c r="HGT46" s="80"/>
      <c r="HGU46" s="80"/>
      <c r="HGV46" s="80"/>
      <c r="HGW46" s="80"/>
      <c r="HGX46" s="80"/>
      <c r="HGY46" s="80"/>
      <c r="HGZ46" s="80"/>
      <c r="HHA46" s="80"/>
      <c r="HHB46" s="80"/>
      <c r="HHC46" s="80"/>
      <c r="HHD46" s="80"/>
      <c r="HHE46" s="80"/>
      <c r="HHF46" s="80"/>
      <c r="HHG46" s="80"/>
      <c r="HHH46" s="80"/>
      <c r="HHI46" s="80"/>
      <c r="HHJ46" s="80"/>
      <c r="HHK46" s="80"/>
      <c r="HHL46" s="80"/>
      <c r="HHM46" s="80"/>
      <c r="HHN46" s="80"/>
      <c r="HHO46" s="80"/>
      <c r="HHP46" s="80"/>
      <c r="HHQ46" s="80"/>
      <c r="HHR46" s="80"/>
      <c r="HHS46" s="80"/>
      <c r="HHT46" s="80"/>
      <c r="HHU46" s="80"/>
      <c r="HHV46" s="80"/>
      <c r="HHW46" s="80"/>
      <c r="HHX46" s="80"/>
      <c r="HHY46" s="80"/>
      <c r="HHZ46" s="80"/>
      <c r="HIA46" s="80"/>
      <c r="HIB46" s="80"/>
      <c r="HIC46" s="80"/>
      <c r="HID46" s="80"/>
      <c r="HIE46" s="80"/>
      <c r="HIF46" s="80"/>
      <c r="HIG46" s="80"/>
      <c r="HIH46" s="80"/>
      <c r="HII46" s="80"/>
      <c r="HIJ46" s="80"/>
      <c r="HIK46" s="80"/>
      <c r="HIL46" s="80"/>
      <c r="HIM46" s="80"/>
      <c r="HIN46" s="80"/>
      <c r="HIO46" s="80"/>
      <c r="HIP46" s="80"/>
      <c r="HIQ46" s="80"/>
      <c r="HIR46" s="80"/>
      <c r="HIS46" s="80"/>
      <c r="HIT46" s="80"/>
      <c r="HIU46" s="80"/>
      <c r="HIV46" s="80"/>
      <c r="HIW46" s="80"/>
      <c r="HIX46" s="80"/>
      <c r="HIY46" s="80"/>
      <c r="HIZ46" s="80"/>
      <c r="HJA46" s="80"/>
      <c r="HJB46" s="80"/>
      <c r="HJC46" s="80"/>
      <c r="HJD46" s="80"/>
      <c r="HJE46" s="80"/>
      <c r="HJF46" s="80"/>
      <c r="HJG46" s="80"/>
      <c r="HJH46" s="80"/>
      <c r="HJI46" s="80"/>
      <c r="HJJ46" s="80"/>
      <c r="HJK46" s="80"/>
      <c r="HJL46" s="80"/>
      <c r="HJM46" s="80"/>
      <c r="HJN46" s="80"/>
      <c r="HJO46" s="80"/>
      <c r="HJP46" s="80"/>
      <c r="HJQ46" s="80"/>
      <c r="HJR46" s="80"/>
      <c r="HJS46" s="80"/>
      <c r="HJT46" s="80"/>
      <c r="HJU46" s="80"/>
      <c r="HJV46" s="80"/>
      <c r="HJW46" s="80"/>
      <c r="HJX46" s="80"/>
      <c r="HJY46" s="80"/>
      <c r="HJZ46" s="80"/>
      <c r="HKA46" s="80"/>
      <c r="HKB46" s="80"/>
      <c r="HKC46" s="80"/>
      <c r="HKD46" s="80"/>
      <c r="HKE46" s="80"/>
      <c r="HKF46" s="80"/>
      <c r="HKG46" s="80"/>
      <c r="HKH46" s="80"/>
      <c r="HKI46" s="80"/>
      <c r="HKJ46" s="80"/>
      <c r="HKK46" s="80"/>
      <c r="HKL46" s="80"/>
      <c r="HKM46" s="80"/>
      <c r="HKN46" s="80"/>
      <c r="HKO46" s="80"/>
      <c r="HKP46" s="80"/>
      <c r="HKQ46" s="80"/>
      <c r="HKR46" s="80"/>
      <c r="HKS46" s="80"/>
      <c r="HKT46" s="80"/>
      <c r="HKU46" s="80"/>
      <c r="HKV46" s="80"/>
      <c r="HKW46" s="80"/>
      <c r="HKX46" s="80"/>
      <c r="HKY46" s="80"/>
      <c r="HKZ46" s="80"/>
      <c r="HLA46" s="80"/>
      <c r="HLB46" s="80"/>
      <c r="HLC46" s="80"/>
      <c r="HLD46" s="80"/>
      <c r="HLE46" s="80"/>
      <c r="HLF46" s="80"/>
      <c r="HLG46" s="80"/>
      <c r="HLH46" s="80"/>
      <c r="HLI46" s="80"/>
      <c r="HLJ46" s="80"/>
      <c r="HLK46" s="80"/>
      <c r="HLL46" s="80"/>
      <c r="HLM46" s="80"/>
      <c r="HLN46" s="80"/>
      <c r="HLO46" s="80"/>
      <c r="HLP46" s="80"/>
      <c r="HLQ46" s="80"/>
      <c r="HLR46" s="80"/>
      <c r="HLS46" s="80"/>
      <c r="HLT46" s="80"/>
      <c r="HLU46" s="80"/>
      <c r="HLV46" s="80"/>
      <c r="HLW46" s="80"/>
      <c r="HLX46" s="80"/>
      <c r="HLY46" s="80"/>
      <c r="HLZ46" s="80"/>
      <c r="HMA46" s="80"/>
      <c r="HMB46" s="80"/>
      <c r="HMC46" s="80"/>
      <c r="HMD46" s="80"/>
      <c r="HME46" s="80"/>
      <c r="HMF46" s="80"/>
      <c r="HMG46" s="80"/>
      <c r="HMH46" s="80"/>
      <c r="HMI46" s="80"/>
      <c r="HMJ46" s="80"/>
      <c r="HMK46" s="80"/>
      <c r="HML46" s="80"/>
      <c r="HMM46" s="80"/>
      <c r="HMN46" s="80"/>
      <c r="HMO46" s="80"/>
      <c r="HMP46" s="80"/>
      <c r="HMQ46" s="80"/>
      <c r="HMR46" s="80"/>
      <c r="HMS46" s="80"/>
      <c r="HMT46" s="80"/>
      <c r="HMU46" s="80"/>
      <c r="HMV46" s="80"/>
      <c r="HMW46" s="80"/>
      <c r="HMX46" s="80"/>
      <c r="HMY46" s="80"/>
      <c r="HMZ46" s="80"/>
      <c r="HNA46" s="80"/>
      <c r="HNB46" s="80"/>
      <c r="HNC46" s="80"/>
      <c r="HND46" s="80"/>
      <c r="HNE46" s="80"/>
      <c r="HNF46" s="80"/>
      <c r="HNG46" s="80"/>
      <c r="HNH46" s="80"/>
      <c r="HNI46" s="80"/>
      <c r="HNJ46" s="80"/>
      <c r="HNK46" s="80"/>
      <c r="HNL46" s="80"/>
      <c r="HNM46" s="80"/>
      <c r="HNN46" s="80"/>
      <c r="HNO46" s="80"/>
      <c r="HNP46" s="80"/>
      <c r="HNQ46" s="80"/>
      <c r="HNR46" s="80"/>
      <c r="HNS46" s="80"/>
      <c r="HNT46" s="80"/>
      <c r="HNU46" s="80"/>
      <c r="HNV46" s="80"/>
      <c r="HNW46" s="80"/>
      <c r="HNX46" s="80"/>
      <c r="HNY46" s="80"/>
      <c r="HNZ46" s="80"/>
      <c r="HOA46" s="80"/>
      <c r="HOB46" s="80"/>
      <c r="HOC46" s="80"/>
      <c r="HOD46" s="80"/>
      <c r="HOE46" s="80"/>
      <c r="HOF46" s="80"/>
      <c r="HOG46" s="80"/>
      <c r="HOH46" s="80"/>
      <c r="HOI46" s="80"/>
      <c r="HOJ46" s="80"/>
      <c r="HOK46" s="80"/>
      <c r="HOL46" s="80"/>
      <c r="HOM46" s="80"/>
      <c r="HON46" s="80"/>
      <c r="HOO46" s="80"/>
      <c r="HOP46" s="80"/>
      <c r="HOQ46" s="80"/>
      <c r="HOR46" s="80"/>
      <c r="HOS46" s="80"/>
      <c r="HOT46" s="80"/>
      <c r="HOU46" s="80"/>
      <c r="HOV46" s="80"/>
      <c r="HOW46" s="80"/>
      <c r="HOX46" s="80"/>
      <c r="HOY46" s="80"/>
      <c r="HOZ46" s="80"/>
      <c r="HPA46" s="80"/>
      <c r="HPB46" s="80"/>
      <c r="HPC46" s="80"/>
      <c r="HPD46" s="80"/>
      <c r="HPE46" s="80"/>
      <c r="HPF46" s="80"/>
      <c r="HPG46" s="80"/>
      <c r="HPH46" s="80"/>
      <c r="HPI46" s="80"/>
      <c r="HPJ46" s="80"/>
      <c r="HPK46" s="80"/>
      <c r="HPL46" s="80"/>
      <c r="HPM46" s="80"/>
      <c r="HPN46" s="80"/>
      <c r="HPO46" s="80"/>
      <c r="HPP46" s="80"/>
      <c r="HPQ46" s="80"/>
      <c r="HPR46" s="80"/>
      <c r="HPS46" s="80"/>
      <c r="HPT46" s="80"/>
      <c r="HPU46" s="80"/>
      <c r="HPV46" s="80"/>
      <c r="HPW46" s="80"/>
      <c r="HPX46" s="80"/>
      <c r="HPY46" s="80"/>
      <c r="HPZ46" s="80"/>
      <c r="HQA46" s="80"/>
      <c r="HQB46" s="80"/>
      <c r="HQC46" s="80"/>
      <c r="HQD46" s="80"/>
      <c r="HQE46" s="80"/>
      <c r="HQF46" s="80"/>
      <c r="HQG46" s="80"/>
      <c r="HQH46" s="80"/>
      <c r="HQI46" s="80"/>
      <c r="HQJ46" s="80"/>
      <c r="HQK46" s="80"/>
      <c r="HQL46" s="80"/>
      <c r="HQM46" s="80"/>
      <c r="HQN46" s="80"/>
      <c r="HQO46" s="80"/>
      <c r="HQP46" s="80"/>
      <c r="HQQ46" s="80"/>
      <c r="HQR46" s="80"/>
      <c r="HQS46" s="80"/>
      <c r="HQT46" s="80"/>
      <c r="HQU46" s="80"/>
      <c r="HQV46" s="80"/>
      <c r="HQW46" s="80"/>
      <c r="HQX46" s="80"/>
      <c r="HQY46" s="80"/>
      <c r="HQZ46" s="80"/>
      <c r="HRA46" s="80"/>
      <c r="HRB46" s="80"/>
      <c r="HRC46" s="80"/>
      <c r="HRD46" s="80"/>
      <c r="HRE46" s="80"/>
      <c r="HRF46" s="80"/>
      <c r="HRG46" s="80"/>
      <c r="HRH46" s="80"/>
      <c r="HRI46" s="80"/>
      <c r="HRJ46" s="80"/>
      <c r="HRK46" s="80"/>
      <c r="HRL46" s="80"/>
      <c r="HRM46" s="80"/>
      <c r="HRN46" s="80"/>
      <c r="HRO46" s="80"/>
      <c r="HRP46" s="80"/>
      <c r="HRQ46" s="80"/>
      <c r="HRR46" s="80"/>
      <c r="HRS46" s="80"/>
      <c r="HRT46" s="80"/>
      <c r="HRU46" s="80"/>
      <c r="HRV46" s="80"/>
      <c r="HRW46" s="80"/>
      <c r="HRX46" s="80"/>
      <c r="HRY46" s="80"/>
      <c r="HRZ46" s="80"/>
      <c r="HSA46" s="80"/>
      <c r="HSB46" s="80"/>
      <c r="HSC46" s="80"/>
      <c r="HSD46" s="80"/>
      <c r="HSE46" s="80"/>
      <c r="HSF46" s="80"/>
      <c r="HSG46" s="80"/>
      <c r="HSH46" s="80"/>
      <c r="HSI46" s="80"/>
      <c r="HSJ46" s="80"/>
      <c r="HSK46" s="80"/>
      <c r="HSL46" s="80"/>
      <c r="HSM46" s="80"/>
      <c r="HSN46" s="80"/>
      <c r="HSO46" s="80"/>
      <c r="HSP46" s="80"/>
      <c r="HSQ46" s="80"/>
      <c r="HSR46" s="80"/>
      <c r="HSS46" s="80"/>
      <c r="HST46" s="80"/>
      <c r="HSU46" s="80"/>
      <c r="HSV46" s="80"/>
      <c r="HSW46" s="80"/>
      <c r="HSX46" s="80"/>
      <c r="HSY46" s="80"/>
      <c r="HSZ46" s="80"/>
      <c r="HTA46" s="80"/>
      <c r="HTB46" s="80"/>
      <c r="HTC46" s="80"/>
      <c r="HTD46" s="80"/>
      <c r="HTE46" s="80"/>
      <c r="HTF46" s="80"/>
      <c r="HTG46" s="80"/>
      <c r="HTH46" s="80"/>
      <c r="HTI46" s="80"/>
      <c r="HTJ46" s="80"/>
      <c r="HTK46" s="80"/>
      <c r="HTL46" s="80"/>
      <c r="HTM46" s="80"/>
      <c r="HTN46" s="80"/>
      <c r="HTO46" s="80"/>
      <c r="HTP46" s="80"/>
      <c r="HTQ46" s="80"/>
      <c r="HTR46" s="80"/>
      <c r="HTS46" s="80"/>
      <c r="HTT46" s="80"/>
      <c r="HTU46" s="80"/>
      <c r="HTV46" s="80"/>
      <c r="HTW46" s="80"/>
      <c r="HTX46" s="80"/>
      <c r="HTY46" s="80"/>
      <c r="HTZ46" s="80"/>
      <c r="HUA46" s="80"/>
      <c r="HUB46" s="80"/>
      <c r="HUC46" s="80"/>
      <c r="HUD46" s="80"/>
      <c r="HUE46" s="80"/>
      <c r="HUF46" s="80"/>
      <c r="HUG46" s="80"/>
      <c r="HUH46" s="80"/>
      <c r="HUI46" s="80"/>
      <c r="HUJ46" s="80"/>
      <c r="HUK46" s="80"/>
      <c r="HUL46" s="80"/>
      <c r="HUM46" s="80"/>
      <c r="HUN46" s="80"/>
      <c r="HUO46" s="80"/>
      <c r="HUP46" s="80"/>
      <c r="HUQ46" s="80"/>
      <c r="HUR46" s="80"/>
      <c r="HUS46" s="80"/>
      <c r="HUT46" s="80"/>
      <c r="HUU46" s="80"/>
      <c r="HUV46" s="80"/>
      <c r="HUW46" s="80"/>
      <c r="HUX46" s="80"/>
      <c r="HUY46" s="80"/>
      <c r="HUZ46" s="80"/>
      <c r="HVA46" s="80"/>
      <c r="HVB46" s="80"/>
      <c r="HVC46" s="80"/>
      <c r="HVD46" s="80"/>
      <c r="HVE46" s="80"/>
      <c r="HVF46" s="80"/>
      <c r="HVG46" s="80"/>
      <c r="HVH46" s="80"/>
      <c r="HVI46" s="80"/>
      <c r="HVJ46" s="80"/>
      <c r="HVK46" s="80"/>
      <c r="HVL46" s="80"/>
      <c r="HVM46" s="80"/>
      <c r="HVN46" s="80"/>
      <c r="HVO46" s="80"/>
      <c r="HVP46" s="80"/>
      <c r="HVQ46" s="80"/>
      <c r="HVR46" s="80"/>
      <c r="HVS46" s="80"/>
      <c r="HVT46" s="80"/>
      <c r="HVU46" s="80"/>
      <c r="HVV46" s="80"/>
      <c r="HVW46" s="80"/>
      <c r="HVX46" s="80"/>
      <c r="HVY46" s="80"/>
      <c r="HVZ46" s="80"/>
      <c r="HWA46" s="80"/>
      <c r="HWB46" s="80"/>
      <c r="HWC46" s="80"/>
      <c r="HWD46" s="80"/>
      <c r="HWE46" s="80"/>
      <c r="HWF46" s="80"/>
      <c r="HWG46" s="80"/>
      <c r="HWH46" s="80"/>
      <c r="HWI46" s="80"/>
      <c r="HWJ46" s="80"/>
      <c r="HWK46" s="80"/>
      <c r="HWL46" s="80"/>
      <c r="HWM46" s="80"/>
      <c r="HWN46" s="80"/>
      <c r="HWO46" s="80"/>
      <c r="HWP46" s="80"/>
      <c r="HWQ46" s="80"/>
      <c r="HWR46" s="80"/>
      <c r="HWS46" s="80"/>
      <c r="HWT46" s="80"/>
      <c r="HWU46" s="80"/>
      <c r="HWV46" s="80"/>
      <c r="HWW46" s="80"/>
      <c r="HWX46" s="80"/>
      <c r="HWY46" s="80"/>
      <c r="HWZ46" s="80"/>
      <c r="HXA46" s="80"/>
      <c r="HXB46" s="80"/>
      <c r="HXC46" s="80"/>
      <c r="HXD46" s="80"/>
      <c r="HXE46" s="80"/>
      <c r="HXF46" s="80"/>
      <c r="HXG46" s="80"/>
      <c r="HXH46" s="80"/>
      <c r="HXI46" s="80"/>
      <c r="HXJ46" s="80"/>
      <c r="HXK46" s="80"/>
      <c r="HXL46" s="80"/>
      <c r="HXM46" s="80"/>
      <c r="HXN46" s="80"/>
      <c r="HXO46" s="80"/>
      <c r="HXP46" s="80"/>
      <c r="HXQ46" s="80"/>
      <c r="HXR46" s="80"/>
      <c r="HXS46" s="80"/>
      <c r="HXT46" s="80"/>
      <c r="HXU46" s="80"/>
      <c r="HXV46" s="80"/>
      <c r="HXW46" s="80"/>
      <c r="HXX46" s="80"/>
      <c r="HXY46" s="80"/>
      <c r="HXZ46" s="80"/>
      <c r="HYA46" s="80"/>
      <c r="HYB46" s="80"/>
      <c r="HYC46" s="80"/>
      <c r="HYD46" s="80"/>
      <c r="HYE46" s="80"/>
      <c r="HYF46" s="80"/>
      <c r="HYG46" s="80"/>
      <c r="HYH46" s="80"/>
      <c r="HYI46" s="80"/>
      <c r="HYJ46" s="80"/>
      <c r="HYK46" s="80"/>
      <c r="HYL46" s="80"/>
      <c r="HYM46" s="80"/>
      <c r="HYN46" s="80"/>
      <c r="HYO46" s="80"/>
      <c r="HYP46" s="80"/>
      <c r="HYQ46" s="80"/>
      <c r="HYR46" s="80"/>
      <c r="HYS46" s="80"/>
      <c r="HYT46" s="80"/>
      <c r="HYU46" s="80"/>
      <c r="HYV46" s="80"/>
      <c r="HYW46" s="80"/>
      <c r="HYX46" s="80"/>
      <c r="HYY46" s="80"/>
      <c r="HYZ46" s="80"/>
      <c r="HZA46" s="80"/>
      <c r="HZB46" s="80"/>
      <c r="HZC46" s="80"/>
      <c r="HZD46" s="80"/>
      <c r="HZE46" s="80"/>
      <c r="HZF46" s="80"/>
      <c r="HZG46" s="80"/>
      <c r="HZH46" s="80"/>
      <c r="HZI46" s="80"/>
      <c r="HZJ46" s="80"/>
      <c r="HZK46" s="80"/>
      <c r="HZL46" s="80"/>
      <c r="HZM46" s="80"/>
      <c r="HZN46" s="80"/>
      <c r="HZO46" s="80"/>
      <c r="HZP46" s="80"/>
      <c r="HZQ46" s="80"/>
      <c r="HZR46" s="80"/>
      <c r="HZS46" s="80"/>
      <c r="HZT46" s="80"/>
      <c r="HZU46" s="80"/>
      <c r="HZV46" s="80"/>
      <c r="HZW46" s="80"/>
      <c r="HZX46" s="80"/>
      <c r="HZY46" s="80"/>
      <c r="HZZ46" s="80"/>
      <c r="IAA46" s="80"/>
      <c r="IAB46" s="80"/>
      <c r="IAC46" s="80"/>
      <c r="IAD46" s="80"/>
      <c r="IAE46" s="80"/>
      <c r="IAF46" s="80"/>
      <c r="IAG46" s="80"/>
      <c r="IAH46" s="80"/>
      <c r="IAI46" s="80"/>
      <c r="IAJ46" s="80"/>
      <c r="IAK46" s="80"/>
      <c r="IAL46" s="80"/>
      <c r="IAM46" s="80"/>
      <c r="IAN46" s="80"/>
      <c r="IAO46" s="80"/>
      <c r="IAP46" s="80"/>
      <c r="IAQ46" s="80"/>
      <c r="IAR46" s="80"/>
      <c r="IAS46" s="80"/>
      <c r="IAT46" s="80"/>
      <c r="IAU46" s="80"/>
      <c r="IAV46" s="80"/>
      <c r="IAW46" s="80"/>
      <c r="IAX46" s="80"/>
      <c r="IAY46" s="80"/>
      <c r="IAZ46" s="80"/>
      <c r="IBA46" s="80"/>
      <c r="IBB46" s="80"/>
      <c r="IBC46" s="80"/>
      <c r="IBD46" s="80"/>
      <c r="IBE46" s="80"/>
      <c r="IBF46" s="80"/>
      <c r="IBG46" s="80"/>
      <c r="IBH46" s="80"/>
      <c r="IBI46" s="80"/>
      <c r="IBJ46" s="80"/>
      <c r="IBK46" s="80"/>
      <c r="IBL46" s="80"/>
      <c r="IBM46" s="80"/>
      <c r="IBN46" s="80"/>
      <c r="IBO46" s="80"/>
      <c r="IBP46" s="80"/>
      <c r="IBQ46" s="80"/>
      <c r="IBR46" s="80"/>
      <c r="IBS46" s="80"/>
      <c r="IBT46" s="80"/>
      <c r="IBU46" s="80"/>
      <c r="IBV46" s="80"/>
      <c r="IBW46" s="80"/>
      <c r="IBX46" s="80"/>
      <c r="IBY46" s="80"/>
      <c r="IBZ46" s="80"/>
      <c r="ICA46" s="80"/>
      <c r="ICB46" s="80"/>
      <c r="ICC46" s="80"/>
      <c r="ICD46" s="80"/>
      <c r="ICE46" s="80"/>
      <c r="ICF46" s="80"/>
      <c r="ICG46" s="80"/>
      <c r="ICH46" s="80"/>
      <c r="ICI46" s="80"/>
      <c r="ICJ46" s="80"/>
      <c r="ICK46" s="80"/>
      <c r="ICL46" s="80"/>
      <c r="ICM46" s="80"/>
      <c r="ICN46" s="80"/>
      <c r="ICO46" s="80"/>
      <c r="ICP46" s="80"/>
      <c r="ICQ46" s="80"/>
      <c r="ICR46" s="80"/>
      <c r="ICS46" s="80"/>
      <c r="ICT46" s="80"/>
      <c r="ICU46" s="80"/>
      <c r="ICV46" s="80"/>
      <c r="ICW46" s="80"/>
      <c r="ICX46" s="80"/>
      <c r="ICY46" s="80"/>
      <c r="ICZ46" s="80"/>
      <c r="IDA46" s="80"/>
      <c r="IDB46" s="80"/>
      <c r="IDC46" s="80"/>
      <c r="IDD46" s="80"/>
      <c r="IDE46" s="80"/>
      <c r="IDF46" s="80"/>
      <c r="IDG46" s="80"/>
      <c r="IDH46" s="80"/>
      <c r="IDI46" s="80"/>
      <c r="IDJ46" s="80"/>
      <c r="IDK46" s="80"/>
      <c r="IDL46" s="80"/>
      <c r="IDM46" s="80"/>
      <c r="IDN46" s="80"/>
      <c r="IDO46" s="80"/>
      <c r="IDP46" s="80"/>
      <c r="IDQ46" s="80"/>
      <c r="IDR46" s="80"/>
      <c r="IDS46" s="80"/>
      <c r="IDT46" s="80"/>
      <c r="IDU46" s="80"/>
      <c r="IDV46" s="80"/>
      <c r="IDW46" s="80"/>
      <c r="IDX46" s="80"/>
      <c r="IDY46" s="80"/>
      <c r="IDZ46" s="80"/>
      <c r="IEA46" s="80"/>
      <c r="IEB46" s="80"/>
      <c r="IEC46" s="80"/>
      <c r="IED46" s="80"/>
      <c r="IEE46" s="80"/>
      <c r="IEF46" s="80"/>
      <c r="IEG46" s="80"/>
      <c r="IEH46" s="80"/>
      <c r="IEI46" s="80"/>
      <c r="IEJ46" s="80"/>
      <c r="IEK46" s="80"/>
      <c r="IEL46" s="80"/>
      <c r="IEM46" s="80"/>
      <c r="IEN46" s="80"/>
      <c r="IEO46" s="80"/>
      <c r="IEP46" s="80"/>
      <c r="IEQ46" s="80"/>
      <c r="IER46" s="80"/>
      <c r="IES46" s="80"/>
      <c r="IET46" s="80"/>
      <c r="IEU46" s="80"/>
      <c r="IEV46" s="80"/>
      <c r="IEW46" s="80"/>
      <c r="IEX46" s="80"/>
      <c r="IEY46" s="80"/>
      <c r="IEZ46" s="80"/>
      <c r="IFA46" s="80"/>
      <c r="IFB46" s="80"/>
      <c r="IFC46" s="80"/>
      <c r="IFD46" s="80"/>
      <c r="IFE46" s="80"/>
      <c r="IFF46" s="80"/>
      <c r="IFG46" s="80"/>
      <c r="IFH46" s="80"/>
      <c r="IFI46" s="80"/>
      <c r="IFJ46" s="80"/>
      <c r="IFK46" s="80"/>
      <c r="IFL46" s="80"/>
      <c r="IFM46" s="80"/>
      <c r="IFN46" s="80"/>
      <c r="IFO46" s="80"/>
      <c r="IFP46" s="80"/>
      <c r="IFQ46" s="80"/>
      <c r="IFR46" s="80"/>
      <c r="IFS46" s="80"/>
      <c r="IFT46" s="80"/>
      <c r="IFU46" s="80"/>
      <c r="IFV46" s="80"/>
      <c r="IFW46" s="80"/>
      <c r="IFX46" s="80"/>
      <c r="IFY46" s="80"/>
      <c r="IFZ46" s="80"/>
      <c r="IGA46" s="80"/>
      <c r="IGB46" s="80"/>
      <c r="IGC46" s="80"/>
      <c r="IGD46" s="80"/>
      <c r="IGE46" s="80"/>
      <c r="IGF46" s="80"/>
      <c r="IGG46" s="80"/>
      <c r="IGH46" s="80"/>
      <c r="IGI46" s="80"/>
      <c r="IGJ46" s="80"/>
      <c r="IGK46" s="80"/>
      <c r="IGL46" s="80"/>
      <c r="IGM46" s="80"/>
      <c r="IGN46" s="80"/>
      <c r="IGO46" s="80"/>
      <c r="IGP46" s="80"/>
      <c r="IGQ46" s="80"/>
      <c r="IGR46" s="80"/>
      <c r="IGS46" s="80"/>
      <c r="IGT46" s="80"/>
      <c r="IGU46" s="80"/>
      <c r="IGV46" s="80"/>
      <c r="IGW46" s="80"/>
      <c r="IGX46" s="80"/>
      <c r="IGY46" s="80"/>
      <c r="IGZ46" s="80"/>
      <c r="IHA46" s="80"/>
      <c r="IHB46" s="80"/>
      <c r="IHC46" s="80"/>
      <c r="IHD46" s="80"/>
      <c r="IHE46" s="80"/>
      <c r="IHF46" s="80"/>
      <c r="IHG46" s="80"/>
      <c r="IHH46" s="80"/>
      <c r="IHI46" s="80"/>
      <c r="IHJ46" s="80"/>
      <c r="IHK46" s="80"/>
      <c r="IHL46" s="80"/>
      <c r="IHM46" s="80"/>
      <c r="IHN46" s="80"/>
      <c r="IHO46" s="80"/>
      <c r="IHP46" s="80"/>
      <c r="IHQ46" s="80"/>
      <c r="IHR46" s="80"/>
      <c r="IHS46" s="80"/>
      <c r="IHT46" s="80"/>
      <c r="IHU46" s="80"/>
      <c r="IHV46" s="80"/>
      <c r="IHW46" s="80"/>
      <c r="IHX46" s="80"/>
      <c r="IHY46" s="80"/>
      <c r="IHZ46" s="80"/>
      <c r="IIA46" s="80"/>
      <c r="IIB46" s="80"/>
      <c r="IIC46" s="80"/>
      <c r="IID46" s="80"/>
      <c r="IIE46" s="80"/>
      <c r="IIF46" s="80"/>
      <c r="IIG46" s="80"/>
      <c r="IIH46" s="80"/>
      <c r="III46" s="80"/>
      <c r="IIJ46" s="80"/>
      <c r="IIK46" s="80"/>
      <c r="IIL46" s="80"/>
      <c r="IIM46" s="80"/>
      <c r="IIN46" s="80"/>
      <c r="IIO46" s="80"/>
      <c r="IIP46" s="80"/>
      <c r="IIQ46" s="80"/>
      <c r="IIR46" s="80"/>
      <c r="IIS46" s="80"/>
      <c r="IIT46" s="80"/>
      <c r="IIU46" s="80"/>
      <c r="IIV46" s="80"/>
      <c r="IIW46" s="80"/>
      <c r="IIX46" s="80"/>
      <c r="IIY46" s="80"/>
      <c r="IIZ46" s="80"/>
      <c r="IJA46" s="80"/>
      <c r="IJB46" s="80"/>
      <c r="IJC46" s="80"/>
      <c r="IJD46" s="80"/>
      <c r="IJE46" s="80"/>
      <c r="IJF46" s="80"/>
      <c r="IJG46" s="80"/>
      <c r="IJH46" s="80"/>
      <c r="IJI46" s="80"/>
      <c r="IJJ46" s="80"/>
      <c r="IJK46" s="80"/>
      <c r="IJL46" s="80"/>
      <c r="IJM46" s="80"/>
      <c r="IJN46" s="80"/>
      <c r="IJO46" s="80"/>
      <c r="IJP46" s="80"/>
      <c r="IJQ46" s="80"/>
      <c r="IJR46" s="80"/>
      <c r="IJS46" s="80"/>
      <c r="IJT46" s="80"/>
      <c r="IJU46" s="80"/>
      <c r="IJV46" s="80"/>
      <c r="IJW46" s="80"/>
      <c r="IJX46" s="80"/>
      <c r="IJY46" s="80"/>
      <c r="IJZ46" s="80"/>
      <c r="IKA46" s="80"/>
      <c r="IKB46" s="80"/>
      <c r="IKC46" s="80"/>
      <c r="IKD46" s="80"/>
      <c r="IKE46" s="80"/>
      <c r="IKF46" s="80"/>
      <c r="IKG46" s="80"/>
      <c r="IKH46" s="80"/>
      <c r="IKI46" s="80"/>
      <c r="IKJ46" s="80"/>
      <c r="IKK46" s="80"/>
      <c r="IKL46" s="80"/>
      <c r="IKM46" s="80"/>
      <c r="IKN46" s="80"/>
      <c r="IKO46" s="80"/>
      <c r="IKP46" s="80"/>
      <c r="IKQ46" s="80"/>
      <c r="IKR46" s="80"/>
      <c r="IKS46" s="80"/>
      <c r="IKT46" s="80"/>
      <c r="IKU46" s="80"/>
      <c r="IKV46" s="80"/>
      <c r="IKW46" s="80"/>
      <c r="IKX46" s="80"/>
      <c r="IKY46" s="80"/>
      <c r="IKZ46" s="80"/>
      <c r="ILA46" s="80"/>
      <c r="ILB46" s="80"/>
      <c r="ILC46" s="80"/>
      <c r="ILD46" s="80"/>
      <c r="ILE46" s="80"/>
      <c r="ILF46" s="80"/>
      <c r="ILG46" s="80"/>
      <c r="ILH46" s="80"/>
      <c r="ILI46" s="80"/>
      <c r="ILJ46" s="80"/>
      <c r="ILK46" s="80"/>
      <c r="ILL46" s="80"/>
      <c r="ILM46" s="80"/>
      <c r="ILN46" s="80"/>
      <c r="ILO46" s="80"/>
      <c r="ILP46" s="80"/>
      <c r="ILQ46" s="80"/>
      <c r="ILR46" s="80"/>
      <c r="ILS46" s="80"/>
      <c r="ILT46" s="80"/>
      <c r="ILU46" s="80"/>
      <c r="ILV46" s="80"/>
      <c r="ILW46" s="80"/>
      <c r="ILX46" s="80"/>
      <c r="ILY46" s="80"/>
      <c r="ILZ46" s="80"/>
      <c r="IMA46" s="80"/>
      <c r="IMB46" s="80"/>
      <c r="IMC46" s="80"/>
      <c r="IMD46" s="80"/>
      <c r="IME46" s="80"/>
      <c r="IMF46" s="80"/>
      <c r="IMG46" s="80"/>
      <c r="IMH46" s="80"/>
      <c r="IMI46" s="80"/>
      <c r="IMJ46" s="80"/>
      <c r="IMK46" s="80"/>
      <c r="IML46" s="80"/>
      <c r="IMM46" s="80"/>
      <c r="IMN46" s="80"/>
      <c r="IMO46" s="80"/>
      <c r="IMP46" s="80"/>
      <c r="IMQ46" s="80"/>
      <c r="IMR46" s="80"/>
      <c r="IMS46" s="80"/>
      <c r="IMT46" s="80"/>
      <c r="IMU46" s="80"/>
      <c r="IMV46" s="80"/>
      <c r="IMW46" s="80"/>
      <c r="IMX46" s="80"/>
      <c r="IMY46" s="80"/>
      <c r="IMZ46" s="80"/>
      <c r="INA46" s="80"/>
      <c r="INB46" s="80"/>
      <c r="INC46" s="80"/>
      <c r="IND46" s="80"/>
      <c r="INE46" s="80"/>
      <c r="INF46" s="80"/>
      <c r="ING46" s="80"/>
      <c r="INH46" s="80"/>
      <c r="INI46" s="80"/>
      <c r="INJ46" s="80"/>
      <c r="INK46" s="80"/>
      <c r="INL46" s="80"/>
      <c r="INM46" s="80"/>
      <c r="INN46" s="80"/>
      <c r="INO46" s="80"/>
      <c r="INP46" s="80"/>
      <c r="INQ46" s="80"/>
      <c r="INR46" s="80"/>
      <c r="INS46" s="80"/>
      <c r="INT46" s="80"/>
      <c r="INU46" s="80"/>
      <c r="INV46" s="80"/>
      <c r="INW46" s="80"/>
      <c r="INX46" s="80"/>
      <c r="INY46" s="80"/>
      <c r="INZ46" s="80"/>
      <c r="IOA46" s="80"/>
      <c r="IOB46" s="80"/>
      <c r="IOC46" s="80"/>
      <c r="IOD46" s="80"/>
      <c r="IOE46" s="80"/>
      <c r="IOF46" s="80"/>
      <c r="IOG46" s="80"/>
      <c r="IOH46" s="80"/>
      <c r="IOI46" s="80"/>
      <c r="IOJ46" s="80"/>
      <c r="IOK46" s="80"/>
      <c r="IOL46" s="80"/>
      <c r="IOM46" s="80"/>
      <c r="ION46" s="80"/>
      <c r="IOO46" s="80"/>
      <c r="IOP46" s="80"/>
      <c r="IOQ46" s="80"/>
      <c r="IOR46" s="80"/>
      <c r="IOS46" s="80"/>
      <c r="IOT46" s="80"/>
      <c r="IOU46" s="80"/>
      <c r="IOV46" s="80"/>
      <c r="IOW46" s="80"/>
      <c r="IOX46" s="80"/>
      <c r="IOY46" s="80"/>
      <c r="IOZ46" s="80"/>
      <c r="IPA46" s="80"/>
      <c r="IPB46" s="80"/>
      <c r="IPC46" s="80"/>
      <c r="IPD46" s="80"/>
      <c r="IPE46" s="80"/>
      <c r="IPF46" s="80"/>
      <c r="IPG46" s="80"/>
      <c r="IPH46" s="80"/>
      <c r="IPI46" s="80"/>
      <c r="IPJ46" s="80"/>
      <c r="IPK46" s="80"/>
      <c r="IPL46" s="80"/>
      <c r="IPM46" s="80"/>
      <c r="IPN46" s="80"/>
      <c r="IPO46" s="80"/>
      <c r="IPP46" s="80"/>
      <c r="IPQ46" s="80"/>
      <c r="IPR46" s="80"/>
      <c r="IPS46" s="80"/>
      <c r="IPT46" s="80"/>
      <c r="IPU46" s="80"/>
      <c r="IPV46" s="80"/>
      <c r="IPW46" s="80"/>
      <c r="IPX46" s="80"/>
      <c r="IPY46" s="80"/>
      <c r="IPZ46" s="80"/>
      <c r="IQA46" s="80"/>
      <c r="IQB46" s="80"/>
      <c r="IQC46" s="80"/>
      <c r="IQD46" s="80"/>
      <c r="IQE46" s="80"/>
      <c r="IQF46" s="80"/>
      <c r="IQG46" s="80"/>
      <c r="IQH46" s="80"/>
      <c r="IQI46" s="80"/>
      <c r="IQJ46" s="80"/>
      <c r="IQK46" s="80"/>
      <c r="IQL46" s="80"/>
      <c r="IQM46" s="80"/>
      <c r="IQN46" s="80"/>
      <c r="IQO46" s="80"/>
      <c r="IQP46" s="80"/>
      <c r="IQQ46" s="80"/>
      <c r="IQR46" s="80"/>
      <c r="IQS46" s="80"/>
      <c r="IQT46" s="80"/>
      <c r="IQU46" s="80"/>
      <c r="IQV46" s="80"/>
      <c r="IQW46" s="80"/>
      <c r="IQX46" s="80"/>
      <c r="IQY46" s="80"/>
      <c r="IQZ46" s="80"/>
      <c r="IRA46" s="80"/>
      <c r="IRB46" s="80"/>
      <c r="IRC46" s="80"/>
      <c r="IRD46" s="80"/>
      <c r="IRE46" s="80"/>
      <c r="IRF46" s="80"/>
      <c r="IRG46" s="80"/>
      <c r="IRH46" s="80"/>
      <c r="IRI46" s="80"/>
      <c r="IRJ46" s="80"/>
      <c r="IRK46" s="80"/>
      <c r="IRL46" s="80"/>
      <c r="IRM46" s="80"/>
      <c r="IRN46" s="80"/>
      <c r="IRO46" s="80"/>
      <c r="IRP46" s="80"/>
      <c r="IRQ46" s="80"/>
      <c r="IRR46" s="80"/>
      <c r="IRS46" s="80"/>
      <c r="IRT46" s="80"/>
      <c r="IRU46" s="80"/>
      <c r="IRV46" s="80"/>
      <c r="IRW46" s="80"/>
      <c r="IRX46" s="80"/>
      <c r="IRY46" s="80"/>
      <c r="IRZ46" s="80"/>
      <c r="ISA46" s="80"/>
      <c r="ISB46" s="80"/>
      <c r="ISC46" s="80"/>
      <c r="ISD46" s="80"/>
      <c r="ISE46" s="80"/>
      <c r="ISF46" s="80"/>
      <c r="ISG46" s="80"/>
      <c r="ISH46" s="80"/>
      <c r="ISI46" s="80"/>
      <c r="ISJ46" s="80"/>
      <c r="ISK46" s="80"/>
      <c r="ISL46" s="80"/>
      <c r="ISM46" s="80"/>
      <c r="ISN46" s="80"/>
      <c r="ISO46" s="80"/>
      <c r="ISP46" s="80"/>
      <c r="ISQ46" s="80"/>
      <c r="ISR46" s="80"/>
      <c r="ISS46" s="80"/>
      <c r="IST46" s="80"/>
      <c r="ISU46" s="80"/>
      <c r="ISV46" s="80"/>
      <c r="ISW46" s="80"/>
      <c r="ISX46" s="80"/>
      <c r="ISY46" s="80"/>
      <c r="ISZ46" s="80"/>
      <c r="ITA46" s="80"/>
      <c r="ITB46" s="80"/>
      <c r="ITC46" s="80"/>
      <c r="ITD46" s="80"/>
      <c r="ITE46" s="80"/>
      <c r="ITF46" s="80"/>
      <c r="ITG46" s="80"/>
      <c r="ITH46" s="80"/>
      <c r="ITI46" s="80"/>
      <c r="ITJ46" s="80"/>
      <c r="ITK46" s="80"/>
      <c r="ITL46" s="80"/>
      <c r="ITM46" s="80"/>
      <c r="ITN46" s="80"/>
      <c r="ITO46" s="80"/>
      <c r="ITP46" s="80"/>
      <c r="ITQ46" s="80"/>
      <c r="ITR46" s="80"/>
      <c r="ITS46" s="80"/>
      <c r="ITT46" s="80"/>
      <c r="ITU46" s="80"/>
      <c r="ITV46" s="80"/>
      <c r="ITW46" s="80"/>
      <c r="ITX46" s="80"/>
      <c r="ITY46" s="80"/>
      <c r="ITZ46" s="80"/>
      <c r="IUA46" s="80"/>
      <c r="IUB46" s="80"/>
      <c r="IUC46" s="80"/>
      <c r="IUD46" s="80"/>
      <c r="IUE46" s="80"/>
      <c r="IUF46" s="80"/>
      <c r="IUG46" s="80"/>
      <c r="IUH46" s="80"/>
      <c r="IUI46" s="80"/>
      <c r="IUJ46" s="80"/>
      <c r="IUK46" s="80"/>
      <c r="IUL46" s="80"/>
      <c r="IUM46" s="80"/>
      <c r="IUN46" s="80"/>
      <c r="IUO46" s="80"/>
      <c r="IUP46" s="80"/>
      <c r="IUQ46" s="80"/>
      <c r="IUR46" s="80"/>
      <c r="IUS46" s="80"/>
      <c r="IUT46" s="80"/>
      <c r="IUU46" s="80"/>
      <c r="IUV46" s="80"/>
      <c r="IUW46" s="80"/>
      <c r="IUX46" s="80"/>
      <c r="IUY46" s="80"/>
      <c r="IUZ46" s="80"/>
      <c r="IVA46" s="80"/>
      <c r="IVB46" s="80"/>
      <c r="IVC46" s="80"/>
      <c r="IVD46" s="80"/>
      <c r="IVE46" s="80"/>
      <c r="IVF46" s="80"/>
      <c r="IVG46" s="80"/>
      <c r="IVH46" s="80"/>
      <c r="IVI46" s="80"/>
      <c r="IVJ46" s="80"/>
      <c r="IVK46" s="80"/>
      <c r="IVL46" s="80"/>
      <c r="IVM46" s="80"/>
      <c r="IVN46" s="80"/>
      <c r="IVO46" s="80"/>
      <c r="IVP46" s="80"/>
      <c r="IVQ46" s="80"/>
      <c r="IVR46" s="80"/>
      <c r="IVS46" s="80"/>
      <c r="IVT46" s="80"/>
      <c r="IVU46" s="80"/>
      <c r="IVV46" s="80"/>
      <c r="IVW46" s="80"/>
      <c r="IVX46" s="80"/>
      <c r="IVY46" s="80"/>
      <c r="IVZ46" s="80"/>
      <c r="IWA46" s="80"/>
      <c r="IWB46" s="80"/>
      <c r="IWC46" s="80"/>
      <c r="IWD46" s="80"/>
      <c r="IWE46" s="80"/>
      <c r="IWF46" s="80"/>
      <c r="IWG46" s="80"/>
      <c r="IWH46" s="80"/>
      <c r="IWI46" s="80"/>
      <c r="IWJ46" s="80"/>
      <c r="IWK46" s="80"/>
      <c r="IWL46" s="80"/>
      <c r="IWM46" s="80"/>
      <c r="IWN46" s="80"/>
      <c r="IWO46" s="80"/>
      <c r="IWP46" s="80"/>
      <c r="IWQ46" s="80"/>
      <c r="IWR46" s="80"/>
      <c r="IWS46" s="80"/>
      <c r="IWT46" s="80"/>
      <c r="IWU46" s="80"/>
      <c r="IWV46" s="80"/>
      <c r="IWW46" s="80"/>
      <c r="IWX46" s="80"/>
      <c r="IWY46" s="80"/>
      <c r="IWZ46" s="80"/>
      <c r="IXA46" s="80"/>
      <c r="IXB46" s="80"/>
      <c r="IXC46" s="80"/>
      <c r="IXD46" s="80"/>
      <c r="IXE46" s="80"/>
      <c r="IXF46" s="80"/>
      <c r="IXG46" s="80"/>
      <c r="IXH46" s="80"/>
      <c r="IXI46" s="80"/>
      <c r="IXJ46" s="80"/>
      <c r="IXK46" s="80"/>
      <c r="IXL46" s="80"/>
      <c r="IXM46" s="80"/>
      <c r="IXN46" s="80"/>
      <c r="IXO46" s="80"/>
      <c r="IXP46" s="80"/>
      <c r="IXQ46" s="80"/>
      <c r="IXR46" s="80"/>
      <c r="IXS46" s="80"/>
      <c r="IXT46" s="80"/>
      <c r="IXU46" s="80"/>
      <c r="IXV46" s="80"/>
      <c r="IXW46" s="80"/>
      <c r="IXX46" s="80"/>
      <c r="IXY46" s="80"/>
      <c r="IXZ46" s="80"/>
      <c r="IYA46" s="80"/>
      <c r="IYB46" s="80"/>
      <c r="IYC46" s="80"/>
      <c r="IYD46" s="80"/>
      <c r="IYE46" s="80"/>
      <c r="IYF46" s="80"/>
      <c r="IYG46" s="80"/>
      <c r="IYH46" s="80"/>
      <c r="IYI46" s="80"/>
      <c r="IYJ46" s="80"/>
      <c r="IYK46" s="80"/>
      <c r="IYL46" s="80"/>
      <c r="IYM46" s="80"/>
      <c r="IYN46" s="80"/>
      <c r="IYO46" s="80"/>
      <c r="IYP46" s="80"/>
      <c r="IYQ46" s="80"/>
      <c r="IYR46" s="80"/>
      <c r="IYS46" s="80"/>
      <c r="IYT46" s="80"/>
      <c r="IYU46" s="80"/>
      <c r="IYV46" s="80"/>
      <c r="IYW46" s="80"/>
      <c r="IYX46" s="80"/>
      <c r="IYY46" s="80"/>
      <c r="IYZ46" s="80"/>
      <c r="IZA46" s="80"/>
      <c r="IZB46" s="80"/>
      <c r="IZC46" s="80"/>
      <c r="IZD46" s="80"/>
      <c r="IZE46" s="80"/>
      <c r="IZF46" s="80"/>
      <c r="IZG46" s="80"/>
      <c r="IZH46" s="80"/>
      <c r="IZI46" s="80"/>
      <c r="IZJ46" s="80"/>
      <c r="IZK46" s="80"/>
      <c r="IZL46" s="80"/>
      <c r="IZM46" s="80"/>
      <c r="IZN46" s="80"/>
      <c r="IZO46" s="80"/>
      <c r="IZP46" s="80"/>
      <c r="IZQ46" s="80"/>
      <c r="IZR46" s="80"/>
      <c r="IZS46" s="80"/>
      <c r="IZT46" s="80"/>
      <c r="IZU46" s="80"/>
      <c r="IZV46" s="80"/>
      <c r="IZW46" s="80"/>
      <c r="IZX46" s="80"/>
      <c r="IZY46" s="80"/>
      <c r="IZZ46" s="80"/>
      <c r="JAA46" s="80"/>
      <c r="JAB46" s="80"/>
      <c r="JAC46" s="80"/>
      <c r="JAD46" s="80"/>
      <c r="JAE46" s="80"/>
      <c r="JAF46" s="80"/>
      <c r="JAG46" s="80"/>
      <c r="JAH46" s="80"/>
      <c r="JAI46" s="80"/>
      <c r="JAJ46" s="80"/>
      <c r="JAK46" s="80"/>
      <c r="JAL46" s="80"/>
      <c r="JAM46" s="80"/>
      <c r="JAN46" s="80"/>
      <c r="JAO46" s="80"/>
      <c r="JAP46" s="80"/>
      <c r="JAQ46" s="80"/>
      <c r="JAR46" s="80"/>
      <c r="JAS46" s="80"/>
      <c r="JAT46" s="80"/>
      <c r="JAU46" s="80"/>
      <c r="JAV46" s="80"/>
      <c r="JAW46" s="80"/>
      <c r="JAX46" s="80"/>
      <c r="JAY46" s="80"/>
      <c r="JAZ46" s="80"/>
      <c r="JBA46" s="80"/>
      <c r="JBB46" s="80"/>
      <c r="JBC46" s="80"/>
      <c r="JBD46" s="80"/>
      <c r="JBE46" s="80"/>
      <c r="JBF46" s="80"/>
      <c r="JBG46" s="80"/>
      <c r="JBH46" s="80"/>
      <c r="JBI46" s="80"/>
      <c r="JBJ46" s="80"/>
      <c r="JBK46" s="80"/>
      <c r="JBL46" s="80"/>
      <c r="JBM46" s="80"/>
      <c r="JBN46" s="80"/>
      <c r="JBO46" s="80"/>
      <c r="JBP46" s="80"/>
      <c r="JBQ46" s="80"/>
      <c r="JBR46" s="80"/>
      <c r="JBS46" s="80"/>
      <c r="JBT46" s="80"/>
      <c r="JBU46" s="80"/>
      <c r="JBV46" s="80"/>
      <c r="JBW46" s="80"/>
      <c r="JBX46" s="80"/>
      <c r="JBY46" s="80"/>
      <c r="JBZ46" s="80"/>
      <c r="JCA46" s="80"/>
      <c r="JCB46" s="80"/>
      <c r="JCC46" s="80"/>
      <c r="JCD46" s="80"/>
      <c r="JCE46" s="80"/>
      <c r="JCF46" s="80"/>
      <c r="JCG46" s="80"/>
      <c r="JCH46" s="80"/>
      <c r="JCI46" s="80"/>
      <c r="JCJ46" s="80"/>
      <c r="JCK46" s="80"/>
      <c r="JCL46" s="80"/>
      <c r="JCM46" s="80"/>
      <c r="JCN46" s="80"/>
      <c r="JCO46" s="80"/>
      <c r="JCP46" s="80"/>
      <c r="JCQ46" s="80"/>
      <c r="JCR46" s="80"/>
      <c r="JCS46" s="80"/>
      <c r="JCT46" s="80"/>
      <c r="JCU46" s="80"/>
      <c r="JCV46" s="80"/>
      <c r="JCW46" s="80"/>
      <c r="JCX46" s="80"/>
      <c r="JCY46" s="80"/>
      <c r="JCZ46" s="80"/>
      <c r="JDA46" s="80"/>
      <c r="JDB46" s="80"/>
      <c r="JDC46" s="80"/>
      <c r="JDD46" s="80"/>
      <c r="JDE46" s="80"/>
      <c r="JDF46" s="80"/>
      <c r="JDG46" s="80"/>
      <c r="JDH46" s="80"/>
      <c r="JDI46" s="80"/>
      <c r="JDJ46" s="80"/>
      <c r="JDK46" s="80"/>
      <c r="JDL46" s="80"/>
      <c r="JDM46" s="80"/>
      <c r="JDN46" s="80"/>
      <c r="JDO46" s="80"/>
      <c r="JDP46" s="80"/>
      <c r="JDQ46" s="80"/>
      <c r="JDR46" s="80"/>
      <c r="JDS46" s="80"/>
      <c r="JDT46" s="80"/>
      <c r="JDU46" s="80"/>
      <c r="JDV46" s="80"/>
      <c r="JDW46" s="80"/>
      <c r="JDX46" s="80"/>
      <c r="JDY46" s="80"/>
      <c r="JDZ46" s="80"/>
      <c r="JEA46" s="80"/>
      <c r="JEB46" s="80"/>
      <c r="JEC46" s="80"/>
      <c r="JED46" s="80"/>
      <c r="JEE46" s="80"/>
      <c r="JEF46" s="80"/>
      <c r="JEG46" s="80"/>
      <c r="JEH46" s="80"/>
      <c r="JEI46" s="80"/>
      <c r="JEJ46" s="80"/>
      <c r="JEK46" s="80"/>
      <c r="JEL46" s="80"/>
      <c r="JEM46" s="80"/>
      <c r="JEN46" s="80"/>
      <c r="JEO46" s="80"/>
      <c r="JEP46" s="80"/>
      <c r="JEQ46" s="80"/>
      <c r="JER46" s="80"/>
      <c r="JES46" s="80"/>
      <c r="JET46" s="80"/>
      <c r="JEU46" s="80"/>
      <c r="JEV46" s="80"/>
      <c r="JEW46" s="80"/>
      <c r="JEX46" s="80"/>
      <c r="JEY46" s="80"/>
      <c r="JEZ46" s="80"/>
      <c r="JFA46" s="80"/>
      <c r="JFB46" s="80"/>
      <c r="JFC46" s="80"/>
      <c r="JFD46" s="80"/>
      <c r="JFE46" s="80"/>
      <c r="JFF46" s="80"/>
      <c r="JFG46" s="80"/>
      <c r="JFH46" s="80"/>
      <c r="JFI46" s="80"/>
      <c r="JFJ46" s="80"/>
      <c r="JFK46" s="80"/>
      <c r="JFL46" s="80"/>
      <c r="JFM46" s="80"/>
      <c r="JFN46" s="80"/>
      <c r="JFO46" s="80"/>
      <c r="JFP46" s="80"/>
      <c r="JFQ46" s="80"/>
      <c r="JFR46" s="80"/>
      <c r="JFS46" s="80"/>
      <c r="JFT46" s="80"/>
      <c r="JFU46" s="80"/>
      <c r="JFV46" s="80"/>
      <c r="JFW46" s="80"/>
      <c r="JFX46" s="80"/>
      <c r="JFY46" s="80"/>
      <c r="JFZ46" s="80"/>
      <c r="JGA46" s="80"/>
      <c r="JGB46" s="80"/>
      <c r="JGC46" s="80"/>
      <c r="JGD46" s="80"/>
      <c r="JGE46" s="80"/>
      <c r="JGF46" s="80"/>
      <c r="JGG46" s="80"/>
      <c r="JGH46" s="80"/>
      <c r="JGI46" s="80"/>
      <c r="JGJ46" s="80"/>
      <c r="JGK46" s="80"/>
      <c r="JGL46" s="80"/>
      <c r="JGM46" s="80"/>
      <c r="JGN46" s="80"/>
      <c r="JGO46" s="80"/>
      <c r="JGP46" s="80"/>
      <c r="JGQ46" s="80"/>
      <c r="JGR46" s="80"/>
      <c r="JGS46" s="80"/>
      <c r="JGT46" s="80"/>
      <c r="JGU46" s="80"/>
      <c r="JGV46" s="80"/>
      <c r="JGW46" s="80"/>
      <c r="JGX46" s="80"/>
      <c r="JGY46" s="80"/>
      <c r="JGZ46" s="80"/>
      <c r="JHA46" s="80"/>
      <c r="JHB46" s="80"/>
      <c r="JHC46" s="80"/>
      <c r="JHD46" s="80"/>
      <c r="JHE46" s="80"/>
      <c r="JHF46" s="80"/>
      <c r="JHG46" s="80"/>
      <c r="JHH46" s="80"/>
      <c r="JHI46" s="80"/>
      <c r="JHJ46" s="80"/>
      <c r="JHK46" s="80"/>
      <c r="JHL46" s="80"/>
      <c r="JHM46" s="80"/>
      <c r="JHN46" s="80"/>
      <c r="JHO46" s="80"/>
      <c r="JHP46" s="80"/>
      <c r="JHQ46" s="80"/>
      <c r="JHR46" s="80"/>
      <c r="JHS46" s="80"/>
      <c r="JHT46" s="80"/>
      <c r="JHU46" s="80"/>
      <c r="JHV46" s="80"/>
      <c r="JHW46" s="80"/>
      <c r="JHX46" s="80"/>
      <c r="JHY46" s="80"/>
      <c r="JHZ46" s="80"/>
      <c r="JIA46" s="80"/>
      <c r="JIB46" s="80"/>
      <c r="JIC46" s="80"/>
      <c r="JID46" s="80"/>
      <c r="JIE46" s="80"/>
      <c r="JIF46" s="80"/>
      <c r="JIG46" s="80"/>
      <c r="JIH46" s="80"/>
      <c r="JII46" s="80"/>
      <c r="JIJ46" s="80"/>
      <c r="JIK46" s="80"/>
      <c r="JIL46" s="80"/>
      <c r="JIM46" s="80"/>
      <c r="JIN46" s="80"/>
      <c r="JIO46" s="80"/>
      <c r="JIP46" s="80"/>
      <c r="JIQ46" s="80"/>
      <c r="JIR46" s="80"/>
      <c r="JIS46" s="80"/>
      <c r="JIT46" s="80"/>
      <c r="JIU46" s="80"/>
      <c r="JIV46" s="80"/>
      <c r="JIW46" s="80"/>
      <c r="JIX46" s="80"/>
      <c r="JIY46" s="80"/>
      <c r="JIZ46" s="80"/>
      <c r="JJA46" s="80"/>
      <c r="JJB46" s="80"/>
      <c r="JJC46" s="80"/>
      <c r="JJD46" s="80"/>
      <c r="JJE46" s="80"/>
      <c r="JJF46" s="80"/>
      <c r="JJG46" s="80"/>
      <c r="JJH46" s="80"/>
      <c r="JJI46" s="80"/>
      <c r="JJJ46" s="80"/>
      <c r="JJK46" s="80"/>
      <c r="JJL46" s="80"/>
      <c r="JJM46" s="80"/>
      <c r="JJN46" s="80"/>
      <c r="JJO46" s="80"/>
      <c r="JJP46" s="80"/>
      <c r="JJQ46" s="80"/>
      <c r="JJR46" s="80"/>
      <c r="JJS46" s="80"/>
      <c r="JJT46" s="80"/>
      <c r="JJU46" s="80"/>
      <c r="JJV46" s="80"/>
      <c r="JJW46" s="80"/>
      <c r="JJX46" s="80"/>
      <c r="JJY46" s="80"/>
      <c r="JJZ46" s="80"/>
      <c r="JKA46" s="80"/>
      <c r="JKB46" s="80"/>
      <c r="JKC46" s="80"/>
      <c r="JKD46" s="80"/>
      <c r="JKE46" s="80"/>
      <c r="JKF46" s="80"/>
      <c r="JKG46" s="80"/>
      <c r="JKH46" s="80"/>
      <c r="JKI46" s="80"/>
      <c r="JKJ46" s="80"/>
      <c r="JKK46" s="80"/>
      <c r="JKL46" s="80"/>
      <c r="JKM46" s="80"/>
      <c r="JKN46" s="80"/>
      <c r="JKO46" s="80"/>
      <c r="JKP46" s="80"/>
      <c r="JKQ46" s="80"/>
      <c r="JKR46" s="80"/>
      <c r="JKS46" s="80"/>
      <c r="JKT46" s="80"/>
      <c r="JKU46" s="80"/>
      <c r="JKV46" s="80"/>
      <c r="JKW46" s="80"/>
      <c r="JKX46" s="80"/>
      <c r="JKY46" s="80"/>
      <c r="JKZ46" s="80"/>
      <c r="JLA46" s="80"/>
      <c r="JLB46" s="80"/>
      <c r="JLC46" s="80"/>
      <c r="JLD46" s="80"/>
      <c r="JLE46" s="80"/>
      <c r="JLF46" s="80"/>
      <c r="JLG46" s="80"/>
      <c r="JLH46" s="80"/>
      <c r="JLI46" s="80"/>
      <c r="JLJ46" s="80"/>
      <c r="JLK46" s="80"/>
      <c r="JLL46" s="80"/>
      <c r="JLM46" s="80"/>
      <c r="JLN46" s="80"/>
      <c r="JLO46" s="80"/>
      <c r="JLP46" s="80"/>
      <c r="JLQ46" s="80"/>
      <c r="JLR46" s="80"/>
      <c r="JLS46" s="80"/>
      <c r="JLT46" s="80"/>
      <c r="JLU46" s="80"/>
      <c r="JLV46" s="80"/>
      <c r="JLW46" s="80"/>
      <c r="JLX46" s="80"/>
      <c r="JLY46" s="80"/>
      <c r="JLZ46" s="80"/>
      <c r="JMA46" s="80"/>
      <c r="JMB46" s="80"/>
      <c r="JMC46" s="80"/>
      <c r="JMD46" s="80"/>
      <c r="JME46" s="80"/>
      <c r="JMF46" s="80"/>
      <c r="JMG46" s="80"/>
      <c r="JMH46" s="80"/>
      <c r="JMI46" s="80"/>
      <c r="JMJ46" s="80"/>
      <c r="JMK46" s="80"/>
      <c r="JML46" s="80"/>
      <c r="JMM46" s="80"/>
      <c r="JMN46" s="80"/>
      <c r="JMO46" s="80"/>
      <c r="JMP46" s="80"/>
      <c r="JMQ46" s="80"/>
      <c r="JMR46" s="80"/>
      <c r="JMS46" s="80"/>
      <c r="JMT46" s="80"/>
      <c r="JMU46" s="80"/>
      <c r="JMV46" s="80"/>
      <c r="JMW46" s="80"/>
      <c r="JMX46" s="80"/>
      <c r="JMY46" s="80"/>
      <c r="JMZ46" s="80"/>
      <c r="JNA46" s="80"/>
      <c r="JNB46" s="80"/>
      <c r="JNC46" s="80"/>
      <c r="JND46" s="80"/>
      <c r="JNE46" s="80"/>
      <c r="JNF46" s="80"/>
      <c r="JNG46" s="80"/>
      <c r="JNH46" s="80"/>
      <c r="JNI46" s="80"/>
      <c r="JNJ46" s="80"/>
      <c r="JNK46" s="80"/>
      <c r="JNL46" s="80"/>
      <c r="JNM46" s="80"/>
      <c r="JNN46" s="80"/>
      <c r="JNO46" s="80"/>
      <c r="JNP46" s="80"/>
      <c r="JNQ46" s="80"/>
      <c r="JNR46" s="80"/>
      <c r="JNS46" s="80"/>
      <c r="JNT46" s="80"/>
      <c r="JNU46" s="80"/>
      <c r="JNV46" s="80"/>
      <c r="JNW46" s="80"/>
      <c r="JNX46" s="80"/>
      <c r="JNY46" s="80"/>
      <c r="JNZ46" s="80"/>
      <c r="JOA46" s="80"/>
      <c r="JOB46" s="80"/>
      <c r="JOC46" s="80"/>
      <c r="JOD46" s="80"/>
      <c r="JOE46" s="80"/>
      <c r="JOF46" s="80"/>
      <c r="JOG46" s="80"/>
      <c r="JOH46" s="80"/>
      <c r="JOI46" s="80"/>
      <c r="JOJ46" s="80"/>
      <c r="JOK46" s="80"/>
      <c r="JOL46" s="80"/>
      <c r="JOM46" s="80"/>
      <c r="JON46" s="80"/>
      <c r="JOO46" s="80"/>
      <c r="JOP46" s="80"/>
      <c r="JOQ46" s="80"/>
      <c r="JOR46" s="80"/>
      <c r="JOS46" s="80"/>
      <c r="JOT46" s="80"/>
      <c r="JOU46" s="80"/>
      <c r="JOV46" s="80"/>
      <c r="JOW46" s="80"/>
      <c r="JOX46" s="80"/>
      <c r="JOY46" s="80"/>
      <c r="JOZ46" s="80"/>
      <c r="JPA46" s="80"/>
      <c r="JPB46" s="80"/>
      <c r="JPC46" s="80"/>
      <c r="JPD46" s="80"/>
      <c r="JPE46" s="80"/>
      <c r="JPF46" s="80"/>
      <c r="JPG46" s="80"/>
      <c r="JPH46" s="80"/>
      <c r="JPI46" s="80"/>
      <c r="JPJ46" s="80"/>
      <c r="JPK46" s="80"/>
      <c r="JPL46" s="80"/>
      <c r="JPM46" s="80"/>
      <c r="JPN46" s="80"/>
      <c r="JPO46" s="80"/>
      <c r="JPP46" s="80"/>
      <c r="JPQ46" s="80"/>
      <c r="JPR46" s="80"/>
      <c r="JPS46" s="80"/>
      <c r="JPT46" s="80"/>
      <c r="JPU46" s="80"/>
      <c r="JPV46" s="80"/>
      <c r="JPW46" s="80"/>
      <c r="JPX46" s="80"/>
      <c r="JPY46" s="80"/>
      <c r="JPZ46" s="80"/>
      <c r="JQA46" s="80"/>
      <c r="JQB46" s="80"/>
      <c r="JQC46" s="80"/>
      <c r="JQD46" s="80"/>
      <c r="JQE46" s="80"/>
      <c r="JQF46" s="80"/>
      <c r="JQG46" s="80"/>
      <c r="JQH46" s="80"/>
      <c r="JQI46" s="80"/>
      <c r="JQJ46" s="80"/>
      <c r="JQK46" s="80"/>
      <c r="JQL46" s="80"/>
      <c r="JQM46" s="80"/>
      <c r="JQN46" s="80"/>
      <c r="JQO46" s="80"/>
      <c r="JQP46" s="80"/>
      <c r="JQQ46" s="80"/>
      <c r="JQR46" s="80"/>
      <c r="JQS46" s="80"/>
      <c r="JQT46" s="80"/>
      <c r="JQU46" s="80"/>
      <c r="JQV46" s="80"/>
      <c r="JQW46" s="80"/>
      <c r="JQX46" s="80"/>
      <c r="JQY46" s="80"/>
      <c r="JQZ46" s="80"/>
      <c r="JRA46" s="80"/>
      <c r="JRB46" s="80"/>
      <c r="JRC46" s="80"/>
      <c r="JRD46" s="80"/>
      <c r="JRE46" s="80"/>
      <c r="JRF46" s="80"/>
      <c r="JRG46" s="80"/>
      <c r="JRH46" s="80"/>
      <c r="JRI46" s="80"/>
      <c r="JRJ46" s="80"/>
      <c r="JRK46" s="80"/>
      <c r="JRL46" s="80"/>
      <c r="JRM46" s="80"/>
      <c r="JRN46" s="80"/>
      <c r="JRO46" s="80"/>
      <c r="JRP46" s="80"/>
      <c r="JRQ46" s="80"/>
      <c r="JRR46" s="80"/>
      <c r="JRS46" s="80"/>
      <c r="JRT46" s="80"/>
      <c r="JRU46" s="80"/>
      <c r="JRV46" s="80"/>
      <c r="JRW46" s="80"/>
      <c r="JRX46" s="80"/>
      <c r="JRY46" s="80"/>
      <c r="JRZ46" s="80"/>
      <c r="JSA46" s="80"/>
      <c r="JSB46" s="80"/>
      <c r="JSC46" s="80"/>
      <c r="JSD46" s="80"/>
      <c r="JSE46" s="80"/>
      <c r="JSF46" s="80"/>
      <c r="JSG46" s="80"/>
      <c r="JSH46" s="80"/>
      <c r="JSI46" s="80"/>
      <c r="JSJ46" s="80"/>
      <c r="JSK46" s="80"/>
      <c r="JSL46" s="80"/>
      <c r="JSM46" s="80"/>
      <c r="JSN46" s="80"/>
      <c r="JSO46" s="80"/>
      <c r="JSP46" s="80"/>
      <c r="JSQ46" s="80"/>
      <c r="JSR46" s="80"/>
      <c r="JSS46" s="80"/>
      <c r="JST46" s="80"/>
      <c r="JSU46" s="80"/>
      <c r="JSV46" s="80"/>
      <c r="JSW46" s="80"/>
      <c r="JSX46" s="80"/>
      <c r="JSY46" s="80"/>
      <c r="JSZ46" s="80"/>
      <c r="JTA46" s="80"/>
      <c r="JTB46" s="80"/>
      <c r="JTC46" s="80"/>
      <c r="JTD46" s="80"/>
      <c r="JTE46" s="80"/>
      <c r="JTF46" s="80"/>
      <c r="JTG46" s="80"/>
      <c r="JTH46" s="80"/>
      <c r="JTI46" s="80"/>
      <c r="JTJ46" s="80"/>
      <c r="JTK46" s="80"/>
      <c r="JTL46" s="80"/>
      <c r="JTM46" s="80"/>
      <c r="JTN46" s="80"/>
      <c r="JTO46" s="80"/>
      <c r="JTP46" s="80"/>
      <c r="JTQ46" s="80"/>
      <c r="JTR46" s="80"/>
      <c r="JTS46" s="80"/>
      <c r="JTT46" s="80"/>
      <c r="JTU46" s="80"/>
      <c r="JTV46" s="80"/>
      <c r="JTW46" s="80"/>
      <c r="JTX46" s="80"/>
      <c r="JTY46" s="80"/>
      <c r="JTZ46" s="80"/>
      <c r="JUA46" s="80"/>
      <c r="JUB46" s="80"/>
      <c r="JUC46" s="80"/>
      <c r="JUD46" s="80"/>
      <c r="JUE46" s="80"/>
      <c r="JUF46" s="80"/>
      <c r="JUG46" s="80"/>
      <c r="JUH46" s="80"/>
      <c r="JUI46" s="80"/>
      <c r="JUJ46" s="80"/>
      <c r="JUK46" s="80"/>
      <c r="JUL46" s="80"/>
      <c r="JUM46" s="80"/>
      <c r="JUN46" s="80"/>
      <c r="JUO46" s="80"/>
      <c r="JUP46" s="80"/>
      <c r="JUQ46" s="80"/>
      <c r="JUR46" s="80"/>
      <c r="JUS46" s="80"/>
      <c r="JUT46" s="80"/>
      <c r="JUU46" s="80"/>
      <c r="JUV46" s="80"/>
      <c r="JUW46" s="80"/>
      <c r="JUX46" s="80"/>
      <c r="JUY46" s="80"/>
      <c r="JUZ46" s="80"/>
      <c r="JVA46" s="80"/>
      <c r="JVB46" s="80"/>
      <c r="JVC46" s="80"/>
      <c r="JVD46" s="80"/>
      <c r="JVE46" s="80"/>
      <c r="JVF46" s="80"/>
      <c r="JVG46" s="80"/>
      <c r="JVH46" s="80"/>
      <c r="JVI46" s="80"/>
      <c r="JVJ46" s="80"/>
      <c r="JVK46" s="80"/>
      <c r="JVL46" s="80"/>
      <c r="JVM46" s="80"/>
      <c r="JVN46" s="80"/>
      <c r="JVO46" s="80"/>
      <c r="JVP46" s="80"/>
      <c r="JVQ46" s="80"/>
      <c r="JVR46" s="80"/>
      <c r="JVS46" s="80"/>
      <c r="JVT46" s="80"/>
      <c r="JVU46" s="80"/>
      <c r="JVV46" s="80"/>
      <c r="JVW46" s="80"/>
      <c r="JVX46" s="80"/>
      <c r="JVY46" s="80"/>
      <c r="JVZ46" s="80"/>
      <c r="JWA46" s="80"/>
      <c r="JWB46" s="80"/>
      <c r="JWC46" s="80"/>
      <c r="JWD46" s="80"/>
      <c r="JWE46" s="80"/>
      <c r="JWF46" s="80"/>
      <c r="JWG46" s="80"/>
      <c r="JWH46" s="80"/>
      <c r="JWI46" s="80"/>
      <c r="JWJ46" s="80"/>
      <c r="JWK46" s="80"/>
      <c r="JWL46" s="80"/>
      <c r="JWM46" s="80"/>
      <c r="JWN46" s="80"/>
      <c r="JWO46" s="80"/>
      <c r="JWP46" s="80"/>
      <c r="JWQ46" s="80"/>
      <c r="JWR46" s="80"/>
      <c r="JWS46" s="80"/>
      <c r="JWT46" s="80"/>
      <c r="JWU46" s="80"/>
      <c r="JWV46" s="80"/>
      <c r="JWW46" s="80"/>
      <c r="JWX46" s="80"/>
      <c r="JWY46" s="80"/>
      <c r="JWZ46" s="80"/>
      <c r="JXA46" s="80"/>
      <c r="JXB46" s="80"/>
      <c r="JXC46" s="80"/>
      <c r="JXD46" s="80"/>
      <c r="JXE46" s="80"/>
      <c r="JXF46" s="80"/>
      <c r="JXG46" s="80"/>
      <c r="JXH46" s="80"/>
      <c r="JXI46" s="80"/>
      <c r="JXJ46" s="80"/>
      <c r="JXK46" s="80"/>
      <c r="JXL46" s="80"/>
      <c r="JXM46" s="80"/>
      <c r="JXN46" s="80"/>
      <c r="JXO46" s="80"/>
      <c r="JXP46" s="80"/>
      <c r="JXQ46" s="80"/>
      <c r="JXR46" s="80"/>
      <c r="JXS46" s="80"/>
      <c r="JXT46" s="80"/>
      <c r="JXU46" s="80"/>
      <c r="JXV46" s="80"/>
      <c r="JXW46" s="80"/>
      <c r="JXX46" s="80"/>
      <c r="JXY46" s="80"/>
      <c r="JXZ46" s="80"/>
      <c r="JYA46" s="80"/>
      <c r="JYB46" s="80"/>
      <c r="JYC46" s="80"/>
      <c r="JYD46" s="80"/>
      <c r="JYE46" s="80"/>
      <c r="JYF46" s="80"/>
      <c r="JYG46" s="80"/>
      <c r="JYH46" s="80"/>
      <c r="JYI46" s="80"/>
      <c r="JYJ46" s="80"/>
      <c r="JYK46" s="80"/>
      <c r="JYL46" s="80"/>
      <c r="JYM46" s="80"/>
      <c r="JYN46" s="80"/>
      <c r="JYO46" s="80"/>
      <c r="JYP46" s="80"/>
      <c r="JYQ46" s="80"/>
      <c r="JYR46" s="80"/>
      <c r="JYS46" s="80"/>
      <c r="JYT46" s="80"/>
      <c r="JYU46" s="80"/>
      <c r="JYV46" s="80"/>
      <c r="JYW46" s="80"/>
      <c r="JYX46" s="80"/>
      <c r="JYY46" s="80"/>
      <c r="JYZ46" s="80"/>
      <c r="JZA46" s="80"/>
      <c r="JZB46" s="80"/>
      <c r="JZC46" s="80"/>
      <c r="JZD46" s="80"/>
      <c r="JZE46" s="80"/>
      <c r="JZF46" s="80"/>
      <c r="JZG46" s="80"/>
      <c r="JZH46" s="80"/>
      <c r="JZI46" s="80"/>
      <c r="JZJ46" s="80"/>
      <c r="JZK46" s="80"/>
      <c r="JZL46" s="80"/>
      <c r="JZM46" s="80"/>
      <c r="JZN46" s="80"/>
      <c r="JZO46" s="80"/>
      <c r="JZP46" s="80"/>
      <c r="JZQ46" s="80"/>
      <c r="JZR46" s="80"/>
      <c r="JZS46" s="80"/>
      <c r="JZT46" s="80"/>
      <c r="JZU46" s="80"/>
      <c r="JZV46" s="80"/>
      <c r="JZW46" s="80"/>
      <c r="JZX46" s="80"/>
      <c r="JZY46" s="80"/>
      <c r="JZZ46" s="80"/>
      <c r="KAA46" s="80"/>
      <c r="KAB46" s="80"/>
      <c r="KAC46" s="80"/>
      <c r="KAD46" s="80"/>
      <c r="KAE46" s="80"/>
      <c r="KAF46" s="80"/>
      <c r="KAG46" s="80"/>
      <c r="KAH46" s="80"/>
      <c r="KAI46" s="80"/>
      <c r="KAJ46" s="80"/>
      <c r="KAK46" s="80"/>
      <c r="KAL46" s="80"/>
      <c r="KAM46" s="80"/>
      <c r="KAN46" s="80"/>
      <c r="KAO46" s="80"/>
      <c r="KAP46" s="80"/>
      <c r="KAQ46" s="80"/>
      <c r="KAR46" s="80"/>
      <c r="KAS46" s="80"/>
      <c r="KAT46" s="80"/>
      <c r="KAU46" s="80"/>
      <c r="KAV46" s="80"/>
      <c r="KAW46" s="80"/>
      <c r="KAX46" s="80"/>
      <c r="KAY46" s="80"/>
      <c r="KAZ46" s="80"/>
      <c r="KBA46" s="80"/>
      <c r="KBB46" s="80"/>
      <c r="KBC46" s="80"/>
      <c r="KBD46" s="80"/>
      <c r="KBE46" s="80"/>
      <c r="KBF46" s="80"/>
      <c r="KBG46" s="80"/>
      <c r="KBH46" s="80"/>
      <c r="KBI46" s="80"/>
      <c r="KBJ46" s="80"/>
      <c r="KBK46" s="80"/>
      <c r="KBL46" s="80"/>
      <c r="KBM46" s="80"/>
      <c r="KBN46" s="80"/>
      <c r="KBO46" s="80"/>
      <c r="KBP46" s="80"/>
      <c r="KBQ46" s="80"/>
      <c r="KBR46" s="80"/>
      <c r="KBS46" s="80"/>
      <c r="KBT46" s="80"/>
      <c r="KBU46" s="80"/>
      <c r="KBV46" s="80"/>
      <c r="KBW46" s="80"/>
      <c r="KBX46" s="80"/>
      <c r="KBY46" s="80"/>
      <c r="KBZ46" s="80"/>
      <c r="KCA46" s="80"/>
      <c r="KCB46" s="80"/>
      <c r="KCC46" s="80"/>
      <c r="KCD46" s="80"/>
      <c r="KCE46" s="80"/>
      <c r="KCF46" s="80"/>
      <c r="KCG46" s="80"/>
      <c r="KCH46" s="80"/>
      <c r="KCI46" s="80"/>
      <c r="KCJ46" s="80"/>
      <c r="KCK46" s="80"/>
      <c r="KCL46" s="80"/>
      <c r="KCM46" s="80"/>
      <c r="KCN46" s="80"/>
      <c r="KCO46" s="80"/>
      <c r="KCP46" s="80"/>
      <c r="KCQ46" s="80"/>
      <c r="KCR46" s="80"/>
      <c r="KCS46" s="80"/>
      <c r="KCT46" s="80"/>
      <c r="KCU46" s="80"/>
      <c r="KCV46" s="80"/>
      <c r="KCW46" s="80"/>
      <c r="KCX46" s="80"/>
      <c r="KCY46" s="80"/>
      <c r="KCZ46" s="80"/>
      <c r="KDA46" s="80"/>
      <c r="KDB46" s="80"/>
      <c r="KDC46" s="80"/>
      <c r="KDD46" s="80"/>
      <c r="KDE46" s="80"/>
      <c r="KDF46" s="80"/>
      <c r="KDG46" s="80"/>
      <c r="KDH46" s="80"/>
      <c r="KDI46" s="80"/>
      <c r="KDJ46" s="80"/>
      <c r="KDK46" s="80"/>
      <c r="KDL46" s="80"/>
      <c r="KDM46" s="80"/>
      <c r="KDN46" s="80"/>
      <c r="KDO46" s="80"/>
      <c r="KDP46" s="80"/>
      <c r="KDQ46" s="80"/>
      <c r="KDR46" s="80"/>
      <c r="KDS46" s="80"/>
      <c r="KDT46" s="80"/>
      <c r="KDU46" s="80"/>
      <c r="KDV46" s="80"/>
      <c r="KDW46" s="80"/>
      <c r="KDX46" s="80"/>
      <c r="KDY46" s="80"/>
      <c r="KDZ46" s="80"/>
      <c r="KEA46" s="80"/>
      <c r="KEB46" s="80"/>
      <c r="KEC46" s="80"/>
      <c r="KED46" s="80"/>
      <c r="KEE46" s="80"/>
      <c r="KEF46" s="80"/>
      <c r="KEG46" s="80"/>
      <c r="KEH46" s="80"/>
      <c r="KEI46" s="80"/>
      <c r="KEJ46" s="80"/>
      <c r="KEK46" s="80"/>
      <c r="KEL46" s="80"/>
      <c r="KEM46" s="80"/>
      <c r="KEN46" s="80"/>
      <c r="KEO46" s="80"/>
      <c r="KEP46" s="80"/>
      <c r="KEQ46" s="80"/>
      <c r="KER46" s="80"/>
      <c r="KES46" s="80"/>
      <c r="KET46" s="80"/>
      <c r="KEU46" s="80"/>
      <c r="KEV46" s="80"/>
      <c r="KEW46" s="80"/>
      <c r="KEX46" s="80"/>
      <c r="KEY46" s="80"/>
      <c r="KEZ46" s="80"/>
      <c r="KFA46" s="80"/>
      <c r="KFB46" s="80"/>
      <c r="KFC46" s="80"/>
      <c r="KFD46" s="80"/>
      <c r="KFE46" s="80"/>
      <c r="KFF46" s="80"/>
      <c r="KFG46" s="80"/>
      <c r="KFH46" s="80"/>
      <c r="KFI46" s="80"/>
      <c r="KFJ46" s="80"/>
      <c r="KFK46" s="80"/>
      <c r="KFL46" s="80"/>
      <c r="KFM46" s="80"/>
      <c r="KFN46" s="80"/>
      <c r="KFO46" s="80"/>
      <c r="KFP46" s="80"/>
      <c r="KFQ46" s="80"/>
      <c r="KFR46" s="80"/>
      <c r="KFS46" s="80"/>
      <c r="KFT46" s="80"/>
      <c r="KFU46" s="80"/>
      <c r="KFV46" s="80"/>
      <c r="KFW46" s="80"/>
      <c r="KFX46" s="80"/>
      <c r="KFY46" s="80"/>
      <c r="KFZ46" s="80"/>
      <c r="KGA46" s="80"/>
      <c r="KGB46" s="80"/>
      <c r="KGC46" s="80"/>
      <c r="KGD46" s="80"/>
      <c r="KGE46" s="80"/>
      <c r="KGF46" s="80"/>
      <c r="KGG46" s="80"/>
      <c r="KGH46" s="80"/>
      <c r="KGI46" s="80"/>
      <c r="KGJ46" s="80"/>
      <c r="KGK46" s="80"/>
      <c r="KGL46" s="80"/>
      <c r="KGM46" s="80"/>
      <c r="KGN46" s="80"/>
      <c r="KGO46" s="80"/>
      <c r="KGP46" s="80"/>
      <c r="KGQ46" s="80"/>
      <c r="KGR46" s="80"/>
      <c r="KGS46" s="80"/>
      <c r="KGT46" s="80"/>
      <c r="KGU46" s="80"/>
      <c r="KGV46" s="80"/>
      <c r="KGW46" s="80"/>
      <c r="KGX46" s="80"/>
      <c r="KGY46" s="80"/>
      <c r="KGZ46" s="80"/>
      <c r="KHA46" s="80"/>
      <c r="KHB46" s="80"/>
      <c r="KHC46" s="80"/>
      <c r="KHD46" s="80"/>
      <c r="KHE46" s="80"/>
      <c r="KHF46" s="80"/>
      <c r="KHG46" s="80"/>
      <c r="KHH46" s="80"/>
      <c r="KHI46" s="80"/>
      <c r="KHJ46" s="80"/>
      <c r="KHK46" s="80"/>
      <c r="KHL46" s="80"/>
      <c r="KHM46" s="80"/>
      <c r="KHN46" s="80"/>
      <c r="KHO46" s="80"/>
      <c r="KHP46" s="80"/>
      <c r="KHQ46" s="80"/>
      <c r="KHR46" s="80"/>
      <c r="KHS46" s="80"/>
      <c r="KHT46" s="80"/>
      <c r="KHU46" s="80"/>
      <c r="KHV46" s="80"/>
      <c r="KHW46" s="80"/>
      <c r="KHX46" s="80"/>
      <c r="KHY46" s="80"/>
      <c r="KHZ46" s="80"/>
      <c r="KIA46" s="80"/>
      <c r="KIB46" s="80"/>
      <c r="KIC46" s="80"/>
      <c r="KID46" s="80"/>
      <c r="KIE46" s="80"/>
      <c r="KIF46" s="80"/>
      <c r="KIG46" s="80"/>
      <c r="KIH46" s="80"/>
      <c r="KII46" s="80"/>
      <c r="KIJ46" s="80"/>
      <c r="KIK46" s="80"/>
      <c r="KIL46" s="80"/>
      <c r="KIM46" s="80"/>
      <c r="KIN46" s="80"/>
      <c r="KIO46" s="80"/>
      <c r="KIP46" s="80"/>
      <c r="KIQ46" s="80"/>
      <c r="KIR46" s="80"/>
      <c r="KIS46" s="80"/>
      <c r="KIT46" s="80"/>
      <c r="KIU46" s="80"/>
      <c r="KIV46" s="80"/>
      <c r="KIW46" s="80"/>
      <c r="KIX46" s="80"/>
      <c r="KIY46" s="80"/>
      <c r="KIZ46" s="80"/>
      <c r="KJA46" s="80"/>
      <c r="KJB46" s="80"/>
      <c r="KJC46" s="80"/>
      <c r="KJD46" s="80"/>
      <c r="KJE46" s="80"/>
      <c r="KJF46" s="80"/>
      <c r="KJG46" s="80"/>
      <c r="KJH46" s="80"/>
      <c r="KJI46" s="80"/>
      <c r="KJJ46" s="80"/>
      <c r="KJK46" s="80"/>
      <c r="KJL46" s="80"/>
      <c r="KJM46" s="80"/>
      <c r="KJN46" s="80"/>
      <c r="KJO46" s="80"/>
      <c r="KJP46" s="80"/>
      <c r="KJQ46" s="80"/>
      <c r="KJR46" s="80"/>
      <c r="KJS46" s="80"/>
      <c r="KJT46" s="80"/>
      <c r="KJU46" s="80"/>
      <c r="KJV46" s="80"/>
      <c r="KJW46" s="80"/>
      <c r="KJX46" s="80"/>
      <c r="KJY46" s="80"/>
      <c r="KJZ46" s="80"/>
      <c r="KKA46" s="80"/>
      <c r="KKB46" s="80"/>
      <c r="KKC46" s="80"/>
      <c r="KKD46" s="80"/>
      <c r="KKE46" s="80"/>
      <c r="KKF46" s="80"/>
      <c r="KKG46" s="80"/>
      <c r="KKH46" s="80"/>
      <c r="KKI46" s="80"/>
      <c r="KKJ46" s="80"/>
      <c r="KKK46" s="80"/>
      <c r="KKL46" s="80"/>
      <c r="KKM46" s="80"/>
      <c r="KKN46" s="80"/>
      <c r="KKO46" s="80"/>
      <c r="KKP46" s="80"/>
      <c r="KKQ46" s="80"/>
      <c r="KKR46" s="80"/>
      <c r="KKS46" s="80"/>
      <c r="KKT46" s="80"/>
      <c r="KKU46" s="80"/>
      <c r="KKV46" s="80"/>
      <c r="KKW46" s="80"/>
      <c r="KKX46" s="80"/>
      <c r="KKY46" s="80"/>
      <c r="KKZ46" s="80"/>
      <c r="KLA46" s="80"/>
      <c r="KLB46" s="80"/>
      <c r="KLC46" s="80"/>
      <c r="KLD46" s="80"/>
      <c r="KLE46" s="80"/>
      <c r="KLF46" s="80"/>
      <c r="KLG46" s="80"/>
      <c r="KLH46" s="80"/>
      <c r="KLI46" s="80"/>
      <c r="KLJ46" s="80"/>
      <c r="KLK46" s="80"/>
      <c r="KLL46" s="80"/>
      <c r="KLM46" s="80"/>
      <c r="KLN46" s="80"/>
      <c r="KLO46" s="80"/>
      <c r="KLP46" s="80"/>
      <c r="KLQ46" s="80"/>
      <c r="KLR46" s="80"/>
      <c r="KLS46" s="80"/>
      <c r="KLT46" s="80"/>
      <c r="KLU46" s="80"/>
      <c r="KLV46" s="80"/>
      <c r="KLW46" s="80"/>
      <c r="KLX46" s="80"/>
      <c r="KLY46" s="80"/>
      <c r="KLZ46" s="80"/>
      <c r="KMA46" s="80"/>
      <c r="KMB46" s="80"/>
      <c r="KMC46" s="80"/>
      <c r="KMD46" s="80"/>
      <c r="KME46" s="80"/>
      <c r="KMF46" s="80"/>
      <c r="KMG46" s="80"/>
      <c r="KMH46" s="80"/>
      <c r="KMI46" s="80"/>
      <c r="KMJ46" s="80"/>
      <c r="KMK46" s="80"/>
      <c r="KML46" s="80"/>
      <c r="KMM46" s="80"/>
      <c r="KMN46" s="80"/>
      <c r="KMO46" s="80"/>
      <c r="KMP46" s="80"/>
      <c r="KMQ46" s="80"/>
      <c r="KMR46" s="80"/>
      <c r="KMS46" s="80"/>
      <c r="KMT46" s="80"/>
      <c r="KMU46" s="80"/>
      <c r="KMV46" s="80"/>
      <c r="KMW46" s="80"/>
      <c r="KMX46" s="80"/>
      <c r="KMY46" s="80"/>
      <c r="KMZ46" s="80"/>
      <c r="KNA46" s="80"/>
      <c r="KNB46" s="80"/>
      <c r="KNC46" s="80"/>
      <c r="KND46" s="80"/>
      <c r="KNE46" s="80"/>
      <c r="KNF46" s="80"/>
      <c r="KNG46" s="80"/>
      <c r="KNH46" s="80"/>
      <c r="KNI46" s="80"/>
      <c r="KNJ46" s="80"/>
      <c r="KNK46" s="80"/>
      <c r="KNL46" s="80"/>
      <c r="KNM46" s="80"/>
      <c r="KNN46" s="80"/>
      <c r="KNO46" s="80"/>
      <c r="KNP46" s="80"/>
      <c r="KNQ46" s="80"/>
      <c r="KNR46" s="80"/>
      <c r="KNS46" s="80"/>
      <c r="KNT46" s="80"/>
      <c r="KNU46" s="80"/>
      <c r="KNV46" s="80"/>
      <c r="KNW46" s="80"/>
      <c r="KNX46" s="80"/>
      <c r="KNY46" s="80"/>
      <c r="KNZ46" s="80"/>
      <c r="KOA46" s="80"/>
      <c r="KOB46" s="80"/>
      <c r="KOC46" s="80"/>
      <c r="KOD46" s="80"/>
      <c r="KOE46" s="80"/>
      <c r="KOF46" s="80"/>
      <c r="KOG46" s="80"/>
      <c r="KOH46" s="80"/>
      <c r="KOI46" s="80"/>
      <c r="KOJ46" s="80"/>
      <c r="KOK46" s="80"/>
      <c r="KOL46" s="80"/>
      <c r="KOM46" s="80"/>
      <c r="KON46" s="80"/>
      <c r="KOO46" s="80"/>
      <c r="KOP46" s="80"/>
      <c r="KOQ46" s="80"/>
      <c r="KOR46" s="80"/>
      <c r="KOS46" s="80"/>
      <c r="KOT46" s="80"/>
      <c r="KOU46" s="80"/>
      <c r="KOV46" s="80"/>
      <c r="KOW46" s="80"/>
      <c r="KOX46" s="80"/>
      <c r="KOY46" s="80"/>
      <c r="KOZ46" s="80"/>
      <c r="KPA46" s="80"/>
      <c r="KPB46" s="80"/>
      <c r="KPC46" s="80"/>
      <c r="KPD46" s="80"/>
      <c r="KPE46" s="80"/>
      <c r="KPF46" s="80"/>
      <c r="KPG46" s="80"/>
      <c r="KPH46" s="80"/>
      <c r="KPI46" s="80"/>
      <c r="KPJ46" s="80"/>
      <c r="KPK46" s="80"/>
      <c r="KPL46" s="80"/>
      <c r="KPM46" s="80"/>
      <c r="KPN46" s="80"/>
      <c r="KPO46" s="80"/>
      <c r="KPP46" s="80"/>
      <c r="KPQ46" s="80"/>
      <c r="KPR46" s="80"/>
      <c r="KPS46" s="80"/>
      <c r="KPT46" s="80"/>
      <c r="KPU46" s="80"/>
      <c r="KPV46" s="80"/>
      <c r="KPW46" s="80"/>
      <c r="KPX46" s="80"/>
      <c r="KPY46" s="80"/>
      <c r="KPZ46" s="80"/>
      <c r="KQA46" s="80"/>
      <c r="KQB46" s="80"/>
      <c r="KQC46" s="80"/>
      <c r="KQD46" s="80"/>
      <c r="KQE46" s="80"/>
      <c r="KQF46" s="80"/>
      <c r="KQG46" s="80"/>
      <c r="KQH46" s="80"/>
      <c r="KQI46" s="80"/>
      <c r="KQJ46" s="80"/>
      <c r="KQK46" s="80"/>
      <c r="KQL46" s="80"/>
      <c r="KQM46" s="80"/>
      <c r="KQN46" s="80"/>
      <c r="KQO46" s="80"/>
      <c r="KQP46" s="80"/>
      <c r="KQQ46" s="80"/>
      <c r="KQR46" s="80"/>
      <c r="KQS46" s="80"/>
      <c r="KQT46" s="80"/>
      <c r="KQU46" s="80"/>
      <c r="KQV46" s="80"/>
      <c r="KQW46" s="80"/>
      <c r="KQX46" s="80"/>
      <c r="KQY46" s="80"/>
      <c r="KQZ46" s="80"/>
      <c r="KRA46" s="80"/>
      <c r="KRB46" s="80"/>
      <c r="KRC46" s="80"/>
      <c r="KRD46" s="80"/>
      <c r="KRE46" s="80"/>
      <c r="KRF46" s="80"/>
      <c r="KRG46" s="80"/>
      <c r="KRH46" s="80"/>
      <c r="KRI46" s="80"/>
      <c r="KRJ46" s="80"/>
      <c r="KRK46" s="80"/>
      <c r="KRL46" s="80"/>
      <c r="KRM46" s="80"/>
      <c r="KRN46" s="80"/>
      <c r="KRO46" s="80"/>
      <c r="KRP46" s="80"/>
      <c r="KRQ46" s="80"/>
      <c r="KRR46" s="80"/>
      <c r="KRS46" s="80"/>
      <c r="KRT46" s="80"/>
      <c r="KRU46" s="80"/>
      <c r="KRV46" s="80"/>
      <c r="KRW46" s="80"/>
      <c r="KRX46" s="80"/>
      <c r="KRY46" s="80"/>
      <c r="KRZ46" s="80"/>
      <c r="KSA46" s="80"/>
      <c r="KSB46" s="80"/>
      <c r="KSC46" s="80"/>
      <c r="KSD46" s="80"/>
      <c r="KSE46" s="80"/>
      <c r="KSF46" s="80"/>
      <c r="KSG46" s="80"/>
      <c r="KSH46" s="80"/>
      <c r="KSI46" s="80"/>
      <c r="KSJ46" s="80"/>
      <c r="KSK46" s="80"/>
      <c r="KSL46" s="80"/>
      <c r="KSM46" s="80"/>
      <c r="KSN46" s="80"/>
      <c r="KSO46" s="80"/>
      <c r="KSP46" s="80"/>
      <c r="KSQ46" s="80"/>
      <c r="KSR46" s="80"/>
      <c r="KSS46" s="80"/>
      <c r="KST46" s="80"/>
      <c r="KSU46" s="80"/>
      <c r="KSV46" s="80"/>
      <c r="KSW46" s="80"/>
      <c r="KSX46" s="80"/>
      <c r="KSY46" s="80"/>
      <c r="KSZ46" s="80"/>
      <c r="KTA46" s="80"/>
      <c r="KTB46" s="80"/>
      <c r="KTC46" s="80"/>
      <c r="KTD46" s="80"/>
      <c r="KTE46" s="80"/>
      <c r="KTF46" s="80"/>
      <c r="KTG46" s="80"/>
      <c r="KTH46" s="80"/>
      <c r="KTI46" s="80"/>
      <c r="KTJ46" s="80"/>
      <c r="KTK46" s="80"/>
      <c r="KTL46" s="80"/>
      <c r="KTM46" s="80"/>
      <c r="KTN46" s="80"/>
      <c r="KTO46" s="80"/>
      <c r="KTP46" s="80"/>
      <c r="KTQ46" s="80"/>
      <c r="KTR46" s="80"/>
      <c r="KTS46" s="80"/>
      <c r="KTT46" s="80"/>
      <c r="KTU46" s="80"/>
      <c r="KTV46" s="80"/>
      <c r="KTW46" s="80"/>
      <c r="KTX46" s="80"/>
      <c r="KTY46" s="80"/>
      <c r="KTZ46" s="80"/>
      <c r="KUA46" s="80"/>
      <c r="KUB46" s="80"/>
      <c r="KUC46" s="80"/>
      <c r="KUD46" s="80"/>
      <c r="KUE46" s="80"/>
      <c r="KUF46" s="80"/>
      <c r="KUG46" s="80"/>
      <c r="KUH46" s="80"/>
      <c r="KUI46" s="80"/>
      <c r="KUJ46" s="80"/>
      <c r="KUK46" s="80"/>
      <c r="KUL46" s="80"/>
      <c r="KUM46" s="80"/>
      <c r="KUN46" s="80"/>
      <c r="KUO46" s="80"/>
      <c r="KUP46" s="80"/>
      <c r="KUQ46" s="80"/>
      <c r="KUR46" s="80"/>
      <c r="KUS46" s="80"/>
      <c r="KUT46" s="80"/>
      <c r="KUU46" s="80"/>
      <c r="KUV46" s="80"/>
      <c r="KUW46" s="80"/>
      <c r="KUX46" s="80"/>
      <c r="KUY46" s="80"/>
      <c r="KUZ46" s="80"/>
      <c r="KVA46" s="80"/>
      <c r="KVB46" s="80"/>
      <c r="KVC46" s="80"/>
      <c r="KVD46" s="80"/>
      <c r="KVE46" s="80"/>
      <c r="KVF46" s="80"/>
      <c r="KVG46" s="80"/>
      <c r="KVH46" s="80"/>
      <c r="KVI46" s="80"/>
      <c r="KVJ46" s="80"/>
      <c r="KVK46" s="80"/>
      <c r="KVL46" s="80"/>
      <c r="KVM46" s="80"/>
      <c r="KVN46" s="80"/>
      <c r="KVO46" s="80"/>
      <c r="KVP46" s="80"/>
      <c r="KVQ46" s="80"/>
      <c r="KVR46" s="80"/>
      <c r="KVS46" s="80"/>
      <c r="KVT46" s="80"/>
      <c r="KVU46" s="80"/>
      <c r="KVV46" s="80"/>
      <c r="KVW46" s="80"/>
      <c r="KVX46" s="80"/>
      <c r="KVY46" s="80"/>
      <c r="KVZ46" s="80"/>
      <c r="KWA46" s="80"/>
      <c r="KWB46" s="80"/>
      <c r="KWC46" s="80"/>
      <c r="KWD46" s="80"/>
      <c r="KWE46" s="80"/>
      <c r="KWF46" s="80"/>
      <c r="KWG46" s="80"/>
      <c r="KWH46" s="80"/>
      <c r="KWI46" s="80"/>
      <c r="KWJ46" s="80"/>
      <c r="KWK46" s="80"/>
      <c r="KWL46" s="80"/>
      <c r="KWM46" s="80"/>
      <c r="KWN46" s="80"/>
      <c r="KWO46" s="80"/>
      <c r="KWP46" s="80"/>
      <c r="KWQ46" s="80"/>
      <c r="KWR46" s="80"/>
      <c r="KWS46" s="80"/>
      <c r="KWT46" s="80"/>
      <c r="KWU46" s="80"/>
      <c r="KWV46" s="80"/>
      <c r="KWW46" s="80"/>
      <c r="KWX46" s="80"/>
      <c r="KWY46" s="80"/>
      <c r="KWZ46" s="80"/>
      <c r="KXA46" s="80"/>
      <c r="KXB46" s="80"/>
      <c r="KXC46" s="80"/>
      <c r="KXD46" s="80"/>
      <c r="KXE46" s="80"/>
      <c r="KXF46" s="80"/>
      <c r="KXG46" s="80"/>
      <c r="KXH46" s="80"/>
      <c r="KXI46" s="80"/>
      <c r="KXJ46" s="80"/>
      <c r="KXK46" s="80"/>
      <c r="KXL46" s="80"/>
      <c r="KXM46" s="80"/>
      <c r="KXN46" s="80"/>
      <c r="KXO46" s="80"/>
      <c r="KXP46" s="80"/>
      <c r="KXQ46" s="80"/>
      <c r="KXR46" s="80"/>
      <c r="KXS46" s="80"/>
      <c r="KXT46" s="80"/>
      <c r="KXU46" s="80"/>
      <c r="KXV46" s="80"/>
      <c r="KXW46" s="80"/>
      <c r="KXX46" s="80"/>
      <c r="KXY46" s="80"/>
      <c r="KXZ46" s="80"/>
      <c r="KYA46" s="80"/>
      <c r="KYB46" s="80"/>
      <c r="KYC46" s="80"/>
      <c r="KYD46" s="80"/>
      <c r="KYE46" s="80"/>
      <c r="KYF46" s="80"/>
      <c r="KYG46" s="80"/>
      <c r="KYH46" s="80"/>
      <c r="KYI46" s="80"/>
      <c r="KYJ46" s="80"/>
      <c r="KYK46" s="80"/>
      <c r="KYL46" s="80"/>
      <c r="KYM46" s="80"/>
      <c r="KYN46" s="80"/>
      <c r="KYO46" s="80"/>
      <c r="KYP46" s="80"/>
      <c r="KYQ46" s="80"/>
      <c r="KYR46" s="80"/>
      <c r="KYS46" s="80"/>
      <c r="KYT46" s="80"/>
      <c r="KYU46" s="80"/>
      <c r="KYV46" s="80"/>
      <c r="KYW46" s="80"/>
      <c r="KYX46" s="80"/>
      <c r="KYY46" s="80"/>
      <c r="KYZ46" s="80"/>
      <c r="KZA46" s="80"/>
      <c r="KZB46" s="80"/>
      <c r="KZC46" s="80"/>
      <c r="KZD46" s="80"/>
      <c r="KZE46" s="80"/>
      <c r="KZF46" s="80"/>
      <c r="KZG46" s="80"/>
      <c r="KZH46" s="80"/>
      <c r="KZI46" s="80"/>
      <c r="KZJ46" s="80"/>
      <c r="KZK46" s="80"/>
      <c r="KZL46" s="80"/>
      <c r="KZM46" s="80"/>
      <c r="KZN46" s="80"/>
      <c r="KZO46" s="80"/>
      <c r="KZP46" s="80"/>
      <c r="KZQ46" s="80"/>
      <c r="KZR46" s="80"/>
      <c r="KZS46" s="80"/>
      <c r="KZT46" s="80"/>
      <c r="KZU46" s="80"/>
      <c r="KZV46" s="80"/>
      <c r="KZW46" s="80"/>
      <c r="KZX46" s="80"/>
      <c r="KZY46" s="80"/>
      <c r="KZZ46" s="80"/>
      <c r="LAA46" s="80"/>
      <c r="LAB46" s="80"/>
      <c r="LAC46" s="80"/>
      <c r="LAD46" s="80"/>
      <c r="LAE46" s="80"/>
      <c r="LAF46" s="80"/>
      <c r="LAG46" s="80"/>
      <c r="LAH46" s="80"/>
      <c r="LAI46" s="80"/>
      <c r="LAJ46" s="80"/>
      <c r="LAK46" s="80"/>
      <c r="LAL46" s="80"/>
      <c r="LAM46" s="80"/>
      <c r="LAN46" s="80"/>
      <c r="LAO46" s="80"/>
      <c r="LAP46" s="80"/>
      <c r="LAQ46" s="80"/>
      <c r="LAR46" s="80"/>
      <c r="LAS46" s="80"/>
      <c r="LAT46" s="80"/>
      <c r="LAU46" s="80"/>
      <c r="LAV46" s="80"/>
      <c r="LAW46" s="80"/>
      <c r="LAX46" s="80"/>
      <c r="LAY46" s="80"/>
      <c r="LAZ46" s="80"/>
      <c r="LBA46" s="80"/>
      <c r="LBB46" s="80"/>
      <c r="LBC46" s="80"/>
      <c r="LBD46" s="80"/>
      <c r="LBE46" s="80"/>
      <c r="LBF46" s="80"/>
      <c r="LBG46" s="80"/>
      <c r="LBH46" s="80"/>
      <c r="LBI46" s="80"/>
      <c r="LBJ46" s="80"/>
      <c r="LBK46" s="80"/>
      <c r="LBL46" s="80"/>
      <c r="LBM46" s="80"/>
      <c r="LBN46" s="80"/>
      <c r="LBO46" s="80"/>
      <c r="LBP46" s="80"/>
      <c r="LBQ46" s="80"/>
      <c r="LBR46" s="80"/>
      <c r="LBS46" s="80"/>
      <c r="LBT46" s="80"/>
      <c r="LBU46" s="80"/>
      <c r="LBV46" s="80"/>
      <c r="LBW46" s="80"/>
      <c r="LBX46" s="80"/>
      <c r="LBY46" s="80"/>
      <c r="LBZ46" s="80"/>
      <c r="LCA46" s="80"/>
      <c r="LCB46" s="80"/>
      <c r="LCC46" s="80"/>
      <c r="LCD46" s="80"/>
      <c r="LCE46" s="80"/>
      <c r="LCF46" s="80"/>
      <c r="LCG46" s="80"/>
      <c r="LCH46" s="80"/>
      <c r="LCI46" s="80"/>
      <c r="LCJ46" s="80"/>
      <c r="LCK46" s="80"/>
      <c r="LCL46" s="80"/>
      <c r="LCM46" s="80"/>
      <c r="LCN46" s="80"/>
      <c r="LCO46" s="80"/>
      <c r="LCP46" s="80"/>
      <c r="LCQ46" s="80"/>
      <c r="LCR46" s="80"/>
      <c r="LCS46" s="80"/>
      <c r="LCT46" s="80"/>
      <c r="LCU46" s="80"/>
      <c r="LCV46" s="80"/>
      <c r="LCW46" s="80"/>
      <c r="LCX46" s="80"/>
      <c r="LCY46" s="80"/>
      <c r="LCZ46" s="80"/>
      <c r="LDA46" s="80"/>
      <c r="LDB46" s="80"/>
      <c r="LDC46" s="80"/>
      <c r="LDD46" s="80"/>
      <c r="LDE46" s="80"/>
      <c r="LDF46" s="80"/>
      <c r="LDG46" s="80"/>
      <c r="LDH46" s="80"/>
      <c r="LDI46" s="80"/>
      <c r="LDJ46" s="80"/>
      <c r="LDK46" s="80"/>
      <c r="LDL46" s="80"/>
      <c r="LDM46" s="80"/>
      <c r="LDN46" s="80"/>
      <c r="LDO46" s="80"/>
      <c r="LDP46" s="80"/>
      <c r="LDQ46" s="80"/>
      <c r="LDR46" s="80"/>
      <c r="LDS46" s="80"/>
      <c r="LDT46" s="80"/>
      <c r="LDU46" s="80"/>
      <c r="LDV46" s="80"/>
      <c r="LDW46" s="80"/>
      <c r="LDX46" s="80"/>
      <c r="LDY46" s="80"/>
      <c r="LDZ46" s="80"/>
      <c r="LEA46" s="80"/>
      <c r="LEB46" s="80"/>
      <c r="LEC46" s="80"/>
      <c r="LED46" s="80"/>
      <c r="LEE46" s="80"/>
      <c r="LEF46" s="80"/>
      <c r="LEG46" s="80"/>
      <c r="LEH46" s="80"/>
      <c r="LEI46" s="80"/>
      <c r="LEJ46" s="80"/>
      <c r="LEK46" s="80"/>
      <c r="LEL46" s="80"/>
      <c r="LEM46" s="80"/>
      <c r="LEN46" s="80"/>
      <c r="LEO46" s="80"/>
      <c r="LEP46" s="80"/>
      <c r="LEQ46" s="80"/>
      <c r="LER46" s="80"/>
      <c r="LES46" s="80"/>
      <c r="LET46" s="80"/>
      <c r="LEU46" s="80"/>
      <c r="LEV46" s="80"/>
      <c r="LEW46" s="80"/>
      <c r="LEX46" s="80"/>
      <c r="LEY46" s="80"/>
      <c r="LEZ46" s="80"/>
      <c r="LFA46" s="80"/>
      <c r="LFB46" s="80"/>
      <c r="LFC46" s="80"/>
      <c r="LFD46" s="80"/>
      <c r="LFE46" s="80"/>
      <c r="LFF46" s="80"/>
      <c r="LFG46" s="80"/>
      <c r="LFH46" s="80"/>
      <c r="LFI46" s="80"/>
      <c r="LFJ46" s="80"/>
      <c r="LFK46" s="80"/>
      <c r="LFL46" s="80"/>
      <c r="LFM46" s="80"/>
      <c r="LFN46" s="80"/>
      <c r="LFO46" s="80"/>
      <c r="LFP46" s="80"/>
      <c r="LFQ46" s="80"/>
      <c r="LFR46" s="80"/>
      <c r="LFS46" s="80"/>
      <c r="LFT46" s="80"/>
      <c r="LFU46" s="80"/>
      <c r="LFV46" s="80"/>
      <c r="LFW46" s="80"/>
      <c r="LFX46" s="80"/>
      <c r="LFY46" s="80"/>
      <c r="LFZ46" s="80"/>
      <c r="LGA46" s="80"/>
      <c r="LGB46" s="80"/>
      <c r="LGC46" s="80"/>
      <c r="LGD46" s="80"/>
      <c r="LGE46" s="80"/>
      <c r="LGF46" s="80"/>
      <c r="LGG46" s="80"/>
      <c r="LGH46" s="80"/>
      <c r="LGI46" s="80"/>
      <c r="LGJ46" s="80"/>
      <c r="LGK46" s="80"/>
      <c r="LGL46" s="80"/>
      <c r="LGM46" s="80"/>
      <c r="LGN46" s="80"/>
      <c r="LGO46" s="80"/>
      <c r="LGP46" s="80"/>
      <c r="LGQ46" s="80"/>
      <c r="LGR46" s="80"/>
      <c r="LGS46" s="80"/>
      <c r="LGT46" s="80"/>
      <c r="LGU46" s="80"/>
      <c r="LGV46" s="80"/>
      <c r="LGW46" s="80"/>
      <c r="LGX46" s="80"/>
      <c r="LGY46" s="80"/>
      <c r="LGZ46" s="80"/>
      <c r="LHA46" s="80"/>
      <c r="LHB46" s="80"/>
      <c r="LHC46" s="80"/>
      <c r="LHD46" s="80"/>
      <c r="LHE46" s="80"/>
      <c r="LHF46" s="80"/>
      <c r="LHG46" s="80"/>
      <c r="LHH46" s="80"/>
      <c r="LHI46" s="80"/>
      <c r="LHJ46" s="80"/>
      <c r="LHK46" s="80"/>
      <c r="LHL46" s="80"/>
      <c r="LHM46" s="80"/>
      <c r="LHN46" s="80"/>
      <c r="LHO46" s="80"/>
      <c r="LHP46" s="80"/>
      <c r="LHQ46" s="80"/>
      <c r="LHR46" s="80"/>
      <c r="LHS46" s="80"/>
      <c r="LHT46" s="80"/>
      <c r="LHU46" s="80"/>
      <c r="LHV46" s="80"/>
      <c r="LHW46" s="80"/>
      <c r="LHX46" s="80"/>
      <c r="LHY46" s="80"/>
      <c r="LHZ46" s="80"/>
      <c r="LIA46" s="80"/>
      <c r="LIB46" s="80"/>
      <c r="LIC46" s="80"/>
      <c r="LID46" s="80"/>
      <c r="LIE46" s="80"/>
      <c r="LIF46" s="80"/>
      <c r="LIG46" s="80"/>
      <c r="LIH46" s="80"/>
      <c r="LII46" s="80"/>
      <c r="LIJ46" s="80"/>
      <c r="LIK46" s="80"/>
      <c r="LIL46" s="80"/>
      <c r="LIM46" s="80"/>
      <c r="LIN46" s="80"/>
      <c r="LIO46" s="80"/>
      <c r="LIP46" s="80"/>
      <c r="LIQ46" s="80"/>
      <c r="LIR46" s="80"/>
      <c r="LIS46" s="80"/>
      <c r="LIT46" s="80"/>
      <c r="LIU46" s="80"/>
      <c r="LIV46" s="80"/>
      <c r="LIW46" s="80"/>
      <c r="LIX46" s="80"/>
      <c r="LIY46" s="80"/>
      <c r="LIZ46" s="80"/>
      <c r="LJA46" s="80"/>
      <c r="LJB46" s="80"/>
      <c r="LJC46" s="80"/>
      <c r="LJD46" s="80"/>
      <c r="LJE46" s="80"/>
      <c r="LJF46" s="80"/>
      <c r="LJG46" s="80"/>
      <c r="LJH46" s="80"/>
      <c r="LJI46" s="80"/>
      <c r="LJJ46" s="80"/>
      <c r="LJK46" s="80"/>
      <c r="LJL46" s="80"/>
      <c r="LJM46" s="80"/>
      <c r="LJN46" s="80"/>
      <c r="LJO46" s="80"/>
      <c r="LJP46" s="80"/>
      <c r="LJQ46" s="80"/>
      <c r="LJR46" s="80"/>
      <c r="LJS46" s="80"/>
      <c r="LJT46" s="80"/>
      <c r="LJU46" s="80"/>
      <c r="LJV46" s="80"/>
      <c r="LJW46" s="80"/>
      <c r="LJX46" s="80"/>
      <c r="LJY46" s="80"/>
      <c r="LJZ46" s="80"/>
      <c r="LKA46" s="80"/>
      <c r="LKB46" s="80"/>
      <c r="LKC46" s="80"/>
      <c r="LKD46" s="80"/>
      <c r="LKE46" s="80"/>
      <c r="LKF46" s="80"/>
      <c r="LKG46" s="80"/>
      <c r="LKH46" s="80"/>
      <c r="LKI46" s="80"/>
      <c r="LKJ46" s="80"/>
      <c r="LKK46" s="80"/>
      <c r="LKL46" s="80"/>
      <c r="LKM46" s="80"/>
      <c r="LKN46" s="80"/>
      <c r="LKO46" s="80"/>
      <c r="LKP46" s="80"/>
      <c r="LKQ46" s="80"/>
      <c r="LKR46" s="80"/>
      <c r="LKS46" s="80"/>
      <c r="LKT46" s="80"/>
      <c r="LKU46" s="80"/>
      <c r="LKV46" s="80"/>
      <c r="LKW46" s="80"/>
      <c r="LKX46" s="80"/>
      <c r="LKY46" s="80"/>
      <c r="LKZ46" s="80"/>
      <c r="LLA46" s="80"/>
      <c r="LLB46" s="80"/>
      <c r="LLC46" s="80"/>
      <c r="LLD46" s="80"/>
      <c r="LLE46" s="80"/>
      <c r="LLF46" s="80"/>
      <c r="LLG46" s="80"/>
      <c r="LLH46" s="80"/>
      <c r="LLI46" s="80"/>
      <c r="LLJ46" s="80"/>
      <c r="LLK46" s="80"/>
      <c r="LLL46" s="80"/>
      <c r="LLM46" s="80"/>
      <c r="LLN46" s="80"/>
      <c r="LLO46" s="80"/>
      <c r="LLP46" s="80"/>
      <c r="LLQ46" s="80"/>
      <c r="LLR46" s="80"/>
      <c r="LLS46" s="80"/>
      <c r="LLT46" s="80"/>
      <c r="LLU46" s="80"/>
      <c r="LLV46" s="80"/>
      <c r="LLW46" s="80"/>
      <c r="LLX46" s="80"/>
      <c r="LLY46" s="80"/>
      <c r="LLZ46" s="80"/>
      <c r="LMA46" s="80"/>
      <c r="LMB46" s="80"/>
      <c r="LMC46" s="80"/>
      <c r="LMD46" s="80"/>
      <c r="LME46" s="80"/>
      <c r="LMF46" s="80"/>
      <c r="LMG46" s="80"/>
      <c r="LMH46" s="80"/>
      <c r="LMI46" s="80"/>
      <c r="LMJ46" s="80"/>
      <c r="LMK46" s="80"/>
      <c r="LML46" s="80"/>
      <c r="LMM46" s="80"/>
      <c r="LMN46" s="80"/>
      <c r="LMO46" s="80"/>
      <c r="LMP46" s="80"/>
      <c r="LMQ46" s="80"/>
      <c r="LMR46" s="80"/>
      <c r="LMS46" s="80"/>
      <c r="LMT46" s="80"/>
      <c r="LMU46" s="80"/>
      <c r="LMV46" s="80"/>
      <c r="LMW46" s="80"/>
      <c r="LMX46" s="80"/>
      <c r="LMY46" s="80"/>
      <c r="LMZ46" s="80"/>
      <c r="LNA46" s="80"/>
      <c r="LNB46" s="80"/>
      <c r="LNC46" s="80"/>
      <c r="LND46" s="80"/>
      <c r="LNE46" s="80"/>
      <c r="LNF46" s="80"/>
      <c r="LNG46" s="80"/>
      <c r="LNH46" s="80"/>
      <c r="LNI46" s="80"/>
      <c r="LNJ46" s="80"/>
      <c r="LNK46" s="80"/>
      <c r="LNL46" s="80"/>
      <c r="LNM46" s="80"/>
      <c r="LNN46" s="80"/>
      <c r="LNO46" s="80"/>
      <c r="LNP46" s="80"/>
      <c r="LNQ46" s="80"/>
      <c r="LNR46" s="80"/>
      <c r="LNS46" s="80"/>
      <c r="LNT46" s="80"/>
      <c r="LNU46" s="80"/>
      <c r="LNV46" s="80"/>
      <c r="LNW46" s="80"/>
      <c r="LNX46" s="80"/>
      <c r="LNY46" s="80"/>
      <c r="LNZ46" s="80"/>
      <c r="LOA46" s="80"/>
      <c r="LOB46" s="80"/>
      <c r="LOC46" s="80"/>
      <c r="LOD46" s="80"/>
      <c r="LOE46" s="80"/>
      <c r="LOF46" s="80"/>
      <c r="LOG46" s="80"/>
      <c r="LOH46" s="80"/>
      <c r="LOI46" s="80"/>
      <c r="LOJ46" s="80"/>
      <c r="LOK46" s="80"/>
      <c r="LOL46" s="80"/>
      <c r="LOM46" s="80"/>
      <c r="LON46" s="80"/>
      <c r="LOO46" s="80"/>
      <c r="LOP46" s="80"/>
      <c r="LOQ46" s="80"/>
      <c r="LOR46" s="80"/>
      <c r="LOS46" s="80"/>
      <c r="LOT46" s="80"/>
      <c r="LOU46" s="80"/>
      <c r="LOV46" s="80"/>
      <c r="LOW46" s="80"/>
      <c r="LOX46" s="80"/>
      <c r="LOY46" s="80"/>
      <c r="LOZ46" s="80"/>
      <c r="LPA46" s="80"/>
      <c r="LPB46" s="80"/>
      <c r="LPC46" s="80"/>
      <c r="LPD46" s="80"/>
      <c r="LPE46" s="80"/>
      <c r="LPF46" s="80"/>
      <c r="LPG46" s="80"/>
      <c r="LPH46" s="80"/>
      <c r="LPI46" s="80"/>
      <c r="LPJ46" s="80"/>
      <c r="LPK46" s="80"/>
      <c r="LPL46" s="80"/>
      <c r="LPM46" s="80"/>
      <c r="LPN46" s="80"/>
      <c r="LPO46" s="80"/>
      <c r="LPP46" s="80"/>
      <c r="LPQ46" s="80"/>
      <c r="LPR46" s="80"/>
      <c r="LPS46" s="80"/>
      <c r="LPT46" s="80"/>
      <c r="LPU46" s="80"/>
      <c r="LPV46" s="80"/>
      <c r="LPW46" s="80"/>
      <c r="LPX46" s="80"/>
      <c r="LPY46" s="80"/>
      <c r="LPZ46" s="80"/>
      <c r="LQA46" s="80"/>
      <c r="LQB46" s="80"/>
      <c r="LQC46" s="80"/>
      <c r="LQD46" s="80"/>
      <c r="LQE46" s="80"/>
      <c r="LQF46" s="80"/>
      <c r="LQG46" s="80"/>
      <c r="LQH46" s="80"/>
      <c r="LQI46" s="80"/>
      <c r="LQJ46" s="80"/>
      <c r="LQK46" s="80"/>
      <c r="LQL46" s="80"/>
      <c r="LQM46" s="80"/>
      <c r="LQN46" s="80"/>
      <c r="LQO46" s="80"/>
      <c r="LQP46" s="80"/>
      <c r="LQQ46" s="80"/>
      <c r="LQR46" s="80"/>
      <c r="LQS46" s="80"/>
      <c r="LQT46" s="80"/>
      <c r="LQU46" s="80"/>
      <c r="LQV46" s="80"/>
      <c r="LQW46" s="80"/>
      <c r="LQX46" s="80"/>
      <c r="LQY46" s="80"/>
      <c r="LQZ46" s="80"/>
      <c r="LRA46" s="80"/>
      <c r="LRB46" s="80"/>
      <c r="LRC46" s="80"/>
      <c r="LRD46" s="80"/>
      <c r="LRE46" s="80"/>
      <c r="LRF46" s="80"/>
      <c r="LRG46" s="80"/>
      <c r="LRH46" s="80"/>
      <c r="LRI46" s="80"/>
      <c r="LRJ46" s="80"/>
      <c r="LRK46" s="80"/>
      <c r="LRL46" s="80"/>
      <c r="LRM46" s="80"/>
      <c r="LRN46" s="80"/>
      <c r="LRO46" s="80"/>
      <c r="LRP46" s="80"/>
      <c r="LRQ46" s="80"/>
      <c r="LRR46" s="80"/>
      <c r="LRS46" s="80"/>
      <c r="LRT46" s="80"/>
      <c r="LRU46" s="80"/>
      <c r="LRV46" s="80"/>
      <c r="LRW46" s="80"/>
      <c r="LRX46" s="80"/>
      <c r="LRY46" s="80"/>
      <c r="LRZ46" s="80"/>
      <c r="LSA46" s="80"/>
      <c r="LSB46" s="80"/>
      <c r="LSC46" s="80"/>
      <c r="LSD46" s="80"/>
      <c r="LSE46" s="80"/>
      <c r="LSF46" s="80"/>
      <c r="LSG46" s="80"/>
      <c r="LSH46" s="80"/>
      <c r="LSI46" s="80"/>
      <c r="LSJ46" s="80"/>
      <c r="LSK46" s="80"/>
      <c r="LSL46" s="80"/>
      <c r="LSM46" s="80"/>
      <c r="LSN46" s="80"/>
      <c r="LSO46" s="80"/>
      <c r="LSP46" s="80"/>
      <c r="LSQ46" s="80"/>
      <c r="LSR46" s="80"/>
      <c r="LSS46" s="80"/>
      <c r="LST46" s="80"/>
      <c r="LSU46" s="80"/>
      <c r="LSV46" s="80"/>
      <c r="LSW46" s="80"/>
      <c r="LSX46" s="80"/>
      <c r="LSY46" s="80"/>
      <c r="LSZ46" s="80"/>
      <c r="LTA46" s="80"/>
      <c r="LTB46" s="80"/>
      <c r="LTC46" s="80"/>
      <c r="LTD46" s="80"/>
      <c r="LTE46" s="80"/>
      <c r="LTF46" s="80"/>
      <c r="LTG46" s="80"/>
      <c r="LTH46" s="80"/>
      <c r="LTI46" s="80"/>
      <c r="LTJ46" s="80"/>
      <c r="LTK46" s="80"/>
      <c r="LTL46" s="80"/>
      <c r="LTM46" s="80"/>
      <c r="LTN46" s="80"/>
      <c r="LTO46" s="80"/>
      <c r="LTP46" s="80"/>
      <c r="LTQ46" s="80"/>
      <c r="LTR46" s="80"/>
      <c r="LTS46" s="80"/>
      <c r="LTT46" s="80"/>
      <c r="LTU46" s="80"/>
      <c r="LTV46" s="80"/>
      <c r="LTW46" s="80"/>
      <c r="LTX46" s="80"/>
      <c r="LTY46" s="80"/>
      <c r="LTZ46" s="80"/>
      <c r="LUA46" s="80"/>
      <c r="LUB46" s="80"/>
      <c r="LUC46" s="80"/>
      <c r="LUD46" s="80"/>
      <c r="LUE46" s="80"/>
      <c r="LUF46" s="80"/>
      <c r="LUG46" s="80"/>
      <c r="LUH46" s="80"/>
      <c r="LUI46" s="80"/>
      <c r="LUJ46" s="80"/>
      <c r="LUK46" s="80"/>
      <c r="LUL46" s="80"/>
      <c r="LUM46" s="80"/>
      <c r="LUN46" s="80"/>
      <c r="LUO46" s="80"/>
      <c r="LUP46" s="80"/>
      <c r="LUQ46" s="80"/>
      <c r="LUR46" s="80"/>
      <c r="LUS46" s="80"/>
      <c r="LUT46" s="80"/>
      <c r="LUU46" s="80"/>
      <c r="LUV46" s="80"/>
      <c r="LUW46" s="80"/>
      <c r="LUX46" s="80"/>
      <c r="LUY46" s="80"/>
      <c r="LUZ46" s="80"/>
      <c r="LVA46" s="80"/>
      <c r="LVB46" s="80"/>
      <c r="LVC46" s="80"/>
      <c r="LVD46" s="80"/>
      <c r="LVE46" s="80"/>
      <c r="LVF46" s="80"/>
      <c r="LVG46" s="80"/>
      <c r="LVH46" s="80"/>
      <c r="LVI46" s="80"/>
      <c r="LVJ46" s="80"/>
      <c r="LVK46" s="80"/>
      <c r="LVL46" s="80"/>
      <c r="LVM46" s="80"/>
      <c r="LVN46" s="80"/>
      <c r="LVO46" s="80"/>
      <c r="LVP46" s="80"/>
      <c r="LVQ46" s="80"/>
      <c r="LVR46" s="80"/>
      <c r="LVS46" s="80"/>
      <c r="LVT46" s="80"/>
      <c r="LVU46" s="80"/>
      <c r="LVV46" s="80"/>
      <c r="LVW46" s="80"/>
      <c r="LVX46" s="80"/>
      <c r="LVY46" s="80"/>
      <c r="LVZ46" s="80"/>
      <c r="LWA46" s="80"/>
      <c r="LWB46" s="80"/>
      <c r="LWC46" s="80"/>
      <c r="LWD46" s="80"/>
      <c r="LWE46" s="80"/>
      <c r="LWF46" s="80"/>
      <c r="LWG46" s="80"/>
      <c r="LWH46" s="80"/>
      <c r="LWI46" s="80"/>
      <c r="LWJ46" s="80"/>
      <c r="LWK46" s="80"/>
      <c r="LWL46" s="80"/>
      <c r="LWM46" s="80"/>
      <c r="LWN46" s="80"/>
      <c r="LWO46" s="80"/>
      <c r="LWP46" s="80"/>
      <c r="LWQ46" s="80"/>
      <c r="LWR46" s="80"/>
      <c r="LWS46" s="80"/>
      <c r="LWT46" s="80"/>
      <c r="LWU46" s="80"/>
      <c r="LWV46" s="80"/>
      <c r="LWW46" s="80"/>
      <c r="LWX46" s="80"/>
      <c r="LWY46" s="80"/>
      <c r="LWZ46" s="80"/>
      <c r="LXA46" s="80"/>
      <c r="LXB46" s="80"/>
      <c r="LXC46" s="80"/>
      <c r="LXD46" s="80"/>
      <c r="LXE46" s="80"/>
      <c r="LXF46" s="80"/>
      <c r="LXG46" s="80"/>
      <c r="LXH46" s="80"/>
      <c r="LXI46" s="80"/>
      <c r="LXJ46" s="80"/>
      <c r="LXK46" s="80"/>
      <c r="LXL46" s="80"/>
      <c r="LXM46" s="80"/>
      <c r="LXN46" s="80"/>
      <c r="LXO46" s="80"/>
      <c r="LXP46" s="80"/>
      <c r="LXQ46" s="80"/>
      <c r="LXR46" s="80"/>
      <c r="LXS46" s="80"/>
      <c r="LXT46" s="80"/>
      <c r="LXU46" s="80"/>
      <c r="LXV46" s="80"/>
      <c r="LXW46" s="80"/>
      <c r="LXX46" s="80"/>
      <c r="LXY46" s="80"/>
      <c r="LXZ46" s="80"/>
      <c r="LYA46" s="80"/>
      <c r="LYB46" s="80"/>
      <c r="LYC46" s="80"/>
      <c r="LYD46" s="80"/>
      <c r="LYE46" s="80"/>
      <c r="LYF46" s="80"/>
      <c r="LYG46" s="80"/>
      <c r="LYH46" s="80"/>
      <c r="LYI46" s="80"/>
      <c r="LYJ46" s="80"/>
      <c r="LYK46" s="80"/>
      <c r="LYL46" s="80"/>
      <c r="LYM46" s="80"/>
      <c r="LYN46" s="80"/>
      <c r="LYO46" s="80"/>
      <c r="LYP46" s="80"/>
      <c r="LYQ46" s="80"/>
      <c r="LYR46" s="80"/>
      <c r="LYS46" s="80"/>
      <c r="LYT46" s="80"/>
      <c r="LYU46" s="80"/>
      <c r="LYV46" s="80"/>
      <c r="LYW46" s="80"/>
      <c r="LYX46" s="80"/>
      <c r="LYY46" s="80"/>
      <c r="LYZ46" s="80"/>
      <c r="LZA46" s="80"/>
      <c r="LZB46" s="80"/>
      <c r="LZC46" s="80"/>
      <c r="LZD46" s="80"/>
      <c r="LZE46" s="80"/>
      <c r="LZF46" s="80"/>
      <c r="LZG46" s="80"/>
      <c r="LZH46" s="80"/>
      <c r="LZI46" s="80"/>
      <c r="LZJ46" s="80"/>
      <c r="LZK46" s="80"/>
      <c r="LZL46" s="80"/>
      <c r="LZM46" s="80"/>
      <c r="LZN46" s="80"/>
      <c r="LZO46" s="80"/>
      <c r="LZP46" s="80"/>
      <c r="LZQ46" s="80"/>
      <c r="LZR46" s="80"/>
      <c r="LZS46" s="80"/>
      <c r="LZT46" s="80"/>
      <c r="LZU46" s="80"/>
      <c r="LZV46" s="80"/>
      <c r="LZW46" s="80"/>
      <c r="LZX46" s="80"/>
      <c r="LZY46" s="80"/>
      <c r="LZZ46" s="80"/>
      <c r="MAA46" s="80"/>
      <c r="MAB46" s="80"/>
      <c r="MAC46" s="80"/>
      <c r="MAD46" s="80"/>
      <c r="MAE46" s="80"/>
      <c r="MAF46" s="80"/>
      <c r="MAG46" s="80"/>
      <c r="MAH46" s="80"/>
      <c r="MAI46" s="80"/>
      <c r="MAJ46" s="80"/>
      <c r="MAK46" s="80"/>
      <c r="MAL46" s="80"/>
      <c r="MAM46" s="80"/>
      <c r="MAN46" s="80"/>
      <c r="MAO46" s="80"/>
      <c r="MAP46" s="80"/>
      <c r="MAQ46" s="80"/>
      <c r="MAR46" s="80"/>
      <c r="MAS46" s="80"/>
      <c r="MAT46" s="80"/>
      <c r="MAU46" s="80"/>
      <c r="MAV46" s="80"/>
      <c r="MAW46" s="80"/>
      <c r="MAX46" s="80"/>
      <c r="MAY46" s="80"/>
      <c r="MAZ46" s="80"/>
      <c r="MBA46" s="80"/>
      <c r="MBB46" s="80"/>
      <c r="MBC46" s="80"/>
      <c r="MBD46" s="80"/>
      <c r="MBE46" s="80"/>
      <c r="MBF46" s="80"/>
      <c r="MBG46" s="80"/>
      <c r="MBH46" s="80"/>
      <c r="MBI46" s="80"/>
      <c r="MBJ46" s="80"/>
      <c r="MBK46" s="80"/>
      <c r="MBL46" s="80"/>
      <c r="MBM46" s="80"/>
      <c r="MBN46" s="80"/>
      <c r="MBO46" s="80"/>
      <c r="MBP46" s="80"/>
      <c r="MBQ46" s="80"/>
      <c r="MBR46" s="80"/>
      <c r="MBS46" s="80"/>
      <c r="MBT46" s="80"/>
      <c r="MBU46" s="80"/>
      <c r="MBV46" s="80"/>
      <c r="MBW46" s="80"/>
      <c r="MBX46" s="80"/>
      <c r="MBY46" s="80"/>
      <c r="MBZ46" s="80"/>
      <c r="MCA46" s="80"/>
      <c r="MCB46" s="80"/>
      <c r="MCC46" s="80"/>
      <c r="MCD46" s="80"/>
      <c r="MCE46" s="80"/>
      <c r="MCF46" s="80"/>
      <c r="MCG46" s="80"/>
      <c r="MCH46" s="80"/>
      <c r="MCI46" s="80"/>
      <c r="MCJ46" s="80"/>
      <c r="MCK46" s="80"/>
      <c r="MCL46" s="80"/>
      <c r="MCM46" s="80"/>
      <c r="MCN46" s="80"/>
      <c r="MCO46" s="80"/>
      <c r="MCP46" s="80"/>
      <c r="MCQ46" s="80"/>
      <c r="MCR46" s="80"/>
      <c r="MCS46" s="80"/>
      <c r="MCT46" s="80"/>
      <c r="MCU46" s="80"/>
      <c r="MCV46" s="80"/>
      <c r="MCW46" s="80"/>
      <c r="MCX46" s="80"/>
      <c r="MCY46" s="80"/>
      <c r="MCZ46" s="80"/>
      <c r="MDA46" s="80"/>
      <c r="MDB46" s="80"/>
      <c r="MDC46" s="80"/>
      <c r="MDD46" s="80"/>
      <c r="MDE46" s="80"/>
      <c r="MDF46" s="80"/>
      <c r="MDG46" s="80"/>
      <c r="MDH46" s="80"/>
      <c r="MDI46" s="80"/>
      <c r="MDJ46" s="80"/>
      <c r="MDK46" s="80"/>
      <c r="MDL46" s="80"/>
      <c r="MDM46" s="80"/>
      <c r="MDN46" s="80"/>
      <c r="MDO46" s="80"/>
      <c r="MDP46" s="80"/>
      <c r="MDQ46" s="80"/>
      <c r="MDR46" s="80"/>
      <c r="MDS46" s="80"/>
      <c r="MDT46" s="80"/>
      <c r="MDU46" s="80"/>
      <c r="MDV46" s="80"/>
      <c r="MDW46" s="80"/>
      <c r="MDX46" s="80"/>
      <c r="MDY46" s="80"/>
      <c r="MDZ46" s="80"/>
      <c r="MEA46" s="80"/>
      <c r="MEB46" s="80"/>
      <c r="MEC46" s="80"/>
      <c r="MED46" s="80"/>
      <c r="MEE46" s="80"/>
      <c r="MEF46" s="80"/>
      <c r="MEG46" s="80"/>
      <c r="MEH46" s="80"/>
      <c r="MEI46" s="80"/>
      <c r="MEJ46" s="80"/>
      <c r="MEK46" s="80"/>
      <c r="MEL46" s="80"/>
      <c r="MEM46" s="80"/>
      <c r="MEN46" s="80"/>
      <c r="MEO46" s="80"/>
      <c r="MEP46" s="80"/>
      <c r="MEQ46" s="80"/>
      <c r="MER46" s="80"/>
      <c r="MES46" s="80"/>
      <c r="MET46" s="80"/>
      <c r="MEU46" s="80"/>
      <c r="MEV46" s="80"/>
      <c r="MEW46" s="80"/>
      <c r="MEX46" s="80"/>
      <c r="MEY46" s="80"/>
      <c r="MEZ46" s="80"/>
      <c r="MFA46" s="80"/>
      <c r="MFB46" s="80"/>
      <c r="MFC46" s="80"/>
      <c r="MFD46" s="80"/>
      <c r="MFE46" s="80"/>
      <c r="MFF46" s="80"/>
      <c r="MFG46" s="80"/>
      <c r="MFH46" s="80"/>
      <c r="MFI46" s="80"/>
      <c r="MFJ46" s="80"/>
      <c r="MFK46" s="80"/>
      <c r="MFL46" s="80"/>
      <c r="MFM46" s="80"/>
      <c r="MFN46" s="80"/>
      <c r="MFO46" s="80"/>
      <c r="MFP46" s="80"/>
      <c r="MFQ46" s="80"/>
      <c r="MFR46" s="80"/>
      <c r="MFS46" s="80"/>
      <c r="MFT46" s="80"/>
      <c r="MFU46" s="80"/>
      <c r="MFV46" s="80"/>
      <c r="MFW46" s="80"/>
      <c r="MFX46" s="80"/>
      <c r="MFY46" s="80"/>
      <c r="MFZ46" s="80"/>
      <c r="MGA46" s="80"/>
      <c r="MGB46" s="80"/>
      <c r="MGC46" s="80"/>
      <c r="MGD46" s="80"/>
      <c r="MGE46" s="80"/>
      <c r="MGF46" s="80"/>
      <c r="MGG46" s="80"/>
      <c r="MGH46" s="80"/>
      <c r="MGI46" s="80"/>
      <c r="MGJ46" s="80"/>
      <c r="MGK46" s="80"/>
      <c r="MGL46" s="80"/>
      <c r="MGM46" s="80"/>
      <c r="MGN46" s="80"/>
      <c r="MGO46" s="80"/>
      <c r="MGP46" s="80"/>
      <c r="MGQ46" s="80"/>
      <c r="MGR46" s="80"/>
      <c r="MGS46" s="80"/>
      <c r="MGT46" s="80"/>
      <c r="MGU46" s="80"/>
      <c r="MGV46" s="80"/>
      <c r="MGW46" s="80"/>
      <c r="MGX46" s="80"/>
      <c r="MGY46" s="80"/>
      <c r="MGZ46" s="80"/>
      <c r="MHA46" s="80"/>
      <c r="MHB46" s="80"/>
      <c r="MHC46" s="80"/>
      <c r="MHD46" s="80"/>
      <c r="MHE46" s="80"/>
      <c r="MHF46" s="80"/>
      <c r="MHG46" s="80"/>
      <c r="MHH46" s="80"/>
      <c r="MHI46" s="80"/>
      <c r="MHJ46" s="80"/>
      <c r="MHK46" s="80"/>
      <c r="MHL46" s="80"/>
      <c r="MHM46" s="80"/>
      <c r="MHN46" s="80"/>
      <c r="MHO46" s="80"/>
      <c r="MHP46" s="80"/>
      <c r="MHQ46" s="80"/>
      <c r="MHR46" s="80"/>
      <c r="MHS46" s="80"/>
      <c r="MHT46" s="80"/>
      <c r="MHU46" s="80"/>
      <c r="MHV46" s="80"/>
      <c r="MHW46" s="80"/>
      <c r="MHX46" s="80"/>
      <c r="MHY46" s="80"/>
      <c r="MHZ46" s="80"/>
      <c r="MIA46" s="80"/>
      <c r="MIB46" s="80"/>
      <c r="MIC46" s="80"/>
      <c r="MID46" s="80"/>
      <c r="MIE46" s="80"/>
      <c r="MIF46" s="80"/>
      <c r="MIG46" s="80"/>
      <c r="MIH46" s="80"/>
      <c r="MII46" s="80"/>
      <c r="MIJ46" s="80"/>
      <c r="MIK46" s="80"/>
      <c r="MIL46" s="80"/>
      <c r="MIM46" s="80"/>
      <c r="MIN46" s="80"/>
      <c r="MIO46" s="80"/>
      <c r="MIP46" s="80"/>
      <c r="MIQ46" s="80"/>
      <c r="MIR46" s="80"/>
      <c r="MIS46" s="80"/>
      <c r="MIT46" s="80"/>
      <c r="MIU46" s="80"/>
      <c r="MIV46" s="80"/>
      <c r="MIW46" s="80"/>
      <c r="MIX46" s="80"/>
      <c r="MIY46" s="80"/>
      <c r="MIZ46" s="80"/>
      <c r="MJA46" s="80"/>
      <c r="MJB46" s="80"/>
      <c r="MJC46" s="80"/>
      <c r="MJD46" s="80"/>
      <c r="MJE46" s="80"/>
      <c r="MJF46" s="80"/>
      <c r="MJG46" s="80"/>
      <c r="MJH46" s="80"/>
      <c r="MJI46" s="80"/>
      <c r="MJJ46" s="80"/>
      <c r="MJK46" s="80"/>
      <c r="MJL46" s="80"/>
      <c r="MJM46" s="80"/>
      <c r="MJN46" s="80"/>
      <c r="MJO46" s="80"/>
      <c r="MJP46" s="80"/>
      <c r="MJQ46" s="80"/>
      <c r="MJR46" s="80"/>
      <c r="MJS46" s="80"/>
      <c r="MJT46" s="80"/>
      <c r="MJU46" s="80"/>
      <c r="MJV46" s="80"/>
      <c r="MJW46" s="80"/>
      <c r="MJX46" s="80"/>
      <c r="MJY46" s="80"/>
      <c r="MJZ46" s="80"/>
      <c r="MKA46" s="80"/>
      <c r="MKB46" s="80"/>
      <c r="MKC46" s="80"/>
      <c r="MKD46" s="80"/>
      <c r="MKE46" s="80"/>
      <c r="MKF46" s="80"/>
      <c r="MKG46" s="80"/>
      <c r="MKH46" s="80"/>
      <c r="MKI46" s="80"/>
      <c r="MKJ46" s="80"/>
      <c r="MKK46" s="80"/>
      <c r="MKL46" s="80"/>
      <c r="MKM46" s="80"/>
      <c r="MKN46" s="80"/>
      <c r="MKO46" s="80"/>
      <c r="MKP46" s="80"/>
      <c r="MKQ46" s="80"/>
      <c r="MKR46" s="80"/>
      <c r="MKS46" s="80"/>
      <c r="MKT46" s="80"/>
      <c r="MKU46" s="80"/>
      <c r="MKV46" s="80"/>
      <c r="MKW46" s="80"/>
      <c r="MKX46" s="80"/>
      <c r="MKY46" s="80"/>
      <c r="MKZ46" s="80"/>
      <c r="MLA46" s="80"/>
      <c r="MLB46" s="80"/>
      <c r="MLC46" s="80"/>
      <c r="MLD46" s="80"/>
      <c r="MLE46" s="80"/>
      <c r="MLF46" s="80"/>
      <c r="MLG46" s="80"/>
      <c r="MLH46" s="80"/>
      <c r="MLI46" s="80"/>
      <c r="MLJ46" s="80"/>
      <c r="MLK46" s="80"/>
      <c r="MLL46" s="80"/>
      <c r="MLM46" s="80"/>
      <c r="MLN46" s="80"/>
      <c r="MLO46" s="80"/>
      <c r="MLP46" s="80"/>
      <c r="MLQ46" s="80"/>
      <c r="MLR46" s="80"/>
      <c r="MLS46" s="80"/>
      <c r="MLT46" s="80"/>
      <c r="MLU46" s="80"/>
      <c r="MLV46" s="80"/>
      <c r="MLW46" s="80"/>
      <c r="MLX46" s="80"/>
      <c r="MLY46" s="80"/>
      <c r="MLZ46" s="80"/>
      <c r="MMA46" s="80"/>
      <c r="MMB46" s="80"/>
      <c r="MMC46" s="80"/>
      <c r="MMD46" s="80"/>
      <c r="MME46" s="80"/>
      <c r="MMF46" s="80"/>
      <c r="MMG46" s="80"/>
      <c r="MMH46" s="80"/>
      <c r="MMI46" s="80"/>
      <c r="MMJ46" s="80"/>
      <c r="MMK46" s="80"/>
      <c r="MML46" s="80"/>
      <c r="MMM46" s="80"/>
      <c r="MMN46" s="80"/>
      <c r="MMO46" s="80"/>
      <c r="MMP46" s="80"/>
      <c r="MMQ46" s="80"/>
      <c r="MMR46" s="80"/>
      <c r="MMS46" s="80"/>
      <c r="MMT46" s="80"/>
      <c r="MMU46" s="80"/>
      <c r="MMV46" s="80"/>
      <c r="MMW46" s="80"/>
      <c r="MMX46" s="80"/>
      <c r="MMY46" s="80"/>
      <c r="MMZ46" s="80"/>
      <c r="MNA46" s="80"/>
      <c r="MNB46" s="80"/>
      <c r="MNC46" s="80"/>
      <c r="MND46" s="80"/>
      <c r="MNE46" s="80"/>
      <c r="MNF46" s="80"/>
      <c r="MNG46" s="80"/>
      <c r="MNH46" s="80"/>
      <c r="MNI46" s="80"/>
      <c r="MNJ46" s="80"/>
      <c r="MNK46" s="80"/>
      <c r="MNL46" s="80"/>
      <c r="MNM46" s="80"/>
      <c r="MNN46" s="80"/>
      <c r="MNO46" s="80"/>
      <c r="MNP46" s="80"/>
      <c r="MNQ46" s="80"/>
      <c r="MNR46" s="80"/>
      <c r="MNS46" s="80"/>
      <c r="MNT46" s="80"/>
      <c r="MNU46" s="80"/>
      <c r="MNV46" s="80"/>
      <c r="MNW46" s="80"/>
      <c r="MNX46" s="80"/>
      <c r="MNY46" s="80"/>
      <c r="MNZ46" s="80"/>
      <c r="MOA46" s="80"/>
      <c r="MOB46" s="80"/>
      <c r="MOC46" s="80"/>
      <c r="MOD46" s="80"/>
      <c r="MOE46" s="80"/>
      <c r="MOF46" s="80"/>
      <c r="MOG46" s="80"/>
      <c r="MOH46" s="80"/>
      <c r="MOI46" s="80"/>
      <c r="MOJ46" s="80"/>
      <c r="MOK46" s="80"/>
      <c r="MOL46" s="80"/>
      <c r="MOM46" s="80"/>
      <c r="MON46" s="80"/>
      <c r="MOO46" s="80"/>
      <c r="MOP46" s="80"/>
      <c r="MOQ46" s="80"/>
      <c r="MOR46" s="80"/>
      <c r="MOS46" s="80"/>
      <c r="MOT46" s="80"/>
      <c r="MOU46" s="80"/>
      <c r="MOV46" s="80"/>
      <c r="MOW46" s="80"/>
      <c r="MOX46" s="80"/>
      <c r="MOY46" s="80"/>
      <c r="MOZ46" s="80"/>
      <c r="MPA46" s="80"/>
      <c r="MPB46" s="80"/>
      <c r="MPC46" s="80"/>
      <c r="MPD46" s="80"/>
      <c r="MPE46" s="80"/>
      <c r="MPF46" s="80"/>
      <c r="MPG46" s="80"/>
      <c r="MPH46" s="80"/>
      <c r="MPI46" s="80"/>
      <c r="MPJ46" s="80"/>
      <c r="MPK46" s="80"/>
      <c r="MPL46" s="80"/>
      <c r="MPM46" s="80"/>
      <c r="MPN46" s="80"/>
      <c r="MPO46" s="80"/>
      <c r="MPP46" s="80"/>
      <c r="MPQ46" s="80"/>
      <c r="MPR46" s="80"/>
      <c r="MPS46" s="80"/>
      <c r="MPT46" s="80"/>
      <c r="MPU46" s="80"/>
      <c r="MPV46" s="80"/>
      <c r="MPW46" s="80"/>
      <c r="MPX46" s="80"/>
      <c r="MPY46" s="80"/>
      <c r="MPZ46" s="80"/>
      <c r="MQA46" s="80"/>
      <c r="MQB46" s="80"/>
      <c r="MQC46" s="80"/>
      <c r="MQD46" s="80"/>
      <c r="MQE46" s="80"/>
      <c r="MQF46" s="80"/>
      <c r="MQG46" s="80"/>
      <c r="MQH46" s="80"/>
      <c r="MQI46" s="80"/>
      <c r="MQJ46" s="80"/>
      <c r="MQK46" s="80"/>
      <c r="MQL46" s="80"/>
      <c r="MQM46" s="80"/>
      <c r="MQN46" s="80"/>
      <c r="MQO46" s="80"/>
      <c r="MQP46" s="80"/>
      <c r="MQQ46" s="80"/>
      <c r="MQR46" s="80"/>
      <c r="MQS46" s="80"/>
      <c r="MQT46" s="80"/>
      <c r="MQU46" s="80"/>
      <c r="MQV46" s="80"/>
      <c r="MQW46" s="80"/>
      <c r="MQX46" s="80"/>
      <c r="MQY46" s="80"/>
      <c r="MQZ46" s="80"/>
      <c r="MRA46" s="80"/>
      <c r="MRB46" s="80"/>
      <c r="MRC46" s="80"/>
      <c r="MRD46" s="80"/>
      <c r="MRE46" s="80"/>
      <c r="MRF46" s="80"/>
      <c r="MRG46" s="80"/>
      <c r="MRH46" s="80"/>
      <c r="MRI46" s="80"/>
      <c r="MRJ46" s="80"/>
      <c r="MRK46" s="80"/>
      <c r="MRL46" s="80"/>
      <c r="MRM46" s="80"/>
      <c r="MRN46" s="80"/>
      <c r="MRO46" s="80"/>
      <c r="MRP46" s="80"/>
      <c r="MRQ46" s="80"/>
      <c r="MRR46" s="80"/>
      <c r="MRS46" s="80"/>
      <c r="MRT46" s="80"/>
      <c r="MRU46" s="80"/>
      <c r="MRV46" s="80"/>
      <c r="MRW46" s="80"/>
      <c r="MRX46" s="80"/>
      <c r="MRY46" s="80"/>
      <c r="MRZ46" s="80"/>
      <c r="MSA46" s="80"/>
      <c r="MSB46" s="80"/>
      <c r="MSC46" s="80"/>
      <c r="MSD46" s="80"/>
      <c r="MSE46" s="80"/>
      <c r="MSF46" s="80"/>
      <c r="MSG46" s="80"/>
      <c r="MSH46" s="80"/>
      <c r="MSI46" s="80"/>
      <c r="MSJ46" s="80"/>
      <c r="MSK46" s="80"/>
      <c r="MSL46" s="80"/>
      <c r="MSM46" s="80"/>
      <c r="MSN46" s="80"/>
      <c r="MSO46" s="80"/>
      <c r="MSP46" s="80"/>
      <c r="MSQ46" s="80"/>
      <c r="MSR46" s="80"/>
      <c r="MSS46" s="80"/>
      <c r="MST46" s="80"/>
      <c r="MSU46" s="80"/>
      <c r="MSV46" s="80"/>
      <c r="MSW46" s="80"/>
      <c r="MSX46" s="80"/>
      <c r="MSY46" s="80"/>
      <c r="MSZ46" s="80"/>
      <c r="MTA46" s="80"/>
      <c r="MTB46" s="80"/>
      <c r="MTC46" s="80"/>
      <c r="MTD46" s="80"/>
      <c r="MTE46" s="80"/>
      <c r="MTF46" s="80"/>
      <c r="MTG46" s="80"/>
      <c r="MTH46" s="80"/>
      <c r="MTI46" s="80"/>
      <c r="MTJ46" s="80"/>
      <c r="MTK46" s="80"/>
      <c r="MTL46" s="80"/>
      <c r="MTM46" s="80"/>
      <c r="MTN46" s="80"/>
      <c r="MTO46" s="80"/>
      <c r="MTP46" s="80"/>
      <c r="MTQ46" s="80"/>
      <c r="MTR46" s="80"/>
      <c r="MTS46" s="80"/>
      <c r="MTT46" s="80"/>
      <c r="MTU46" s="80"/>
      <c r="MTV46" s="80"/>
      <c r="MTW46" s="80"/>
      <c r="MTX46" s="80"/>
      <c r="MTY46" s="80"/>
      <c r="MTZ46" s="80"/>
      <c r="MUA46" s="80"/>
      <c r="MUB46" s="80"/>
      <c r="MUC46" s="80"/>
      <c r="MUD46" s="80"/>
      <c r="MUE46" s="80"/>
      <c r="MUF46" s="80"/>
      <c r="MUG46" s="80"/>
      <c r="MUH46" s="80"/>
      <c r="MUI46" s="80"/>
      <c r="MUJ46" s="80"/>
      <c r="MUK46" s="80"/>
      <c r="MUL46" s="80"/>
      <c r="MUM46" s="80"/>
      <c r="MUN46" s="80"/>
      <c r="MUO46" s="80"/>
      <c r="MUP46" s="80"/>
      <c r="MUQ46" s="80"/>
      <c r="MUR46" s="80"/>
      <c r="MUS46" s="80"/>
      <c r="MUT46" s="80"/>
      <c r="MUU46" s="80"/>
      <c r="MUV46" s="80"/>
      <c r="MUW46" s="80"/>
      <c r="MUX46" s="80"/>
      <c r="MUY46" s="80"/>
      <c r="MUZ46" s="80"/>
      <c r="MVA46" s="80"/>
      <c r="MVB46" s="80"/>
      <c r="MVC46" s="80"/>
      <c r="MVD46" s="80"/>
      <c r="MVE46" s="80"/>
      <c r="MVF46" s="80"/>
      <c r="MVG46" s="80"/>
      <c r="MVH46" s="80"/>
      <c r="MVI46" s="80"/>
      <c r="MVJ46" s="80"/>
      <c r="MVK46" s="80"/>
      <c r="MVL46" s="80"/>
      <c r="MVM46" s="80"/>
      <c r="MVN46" s="80"/>
      <c r="MVO46" s="80"/>
      <c r="MVP46" s="80"/>
      <c r="MVQ46" s="80"/>
      <c r="MVR46" s="80"/>
      <c r="MVS46" s="80"/>
      <c r="MVT46" s="80"/>
      <c r="MVU46" s="80"/>
      <c r="MVV46" s="80"/>
      <c r="MVW46" s="80"/>
      <c r="MVX46" s="80"/>
      <c r="MVY46" s="80"/>
      <c r="MVZ46" s="80"/>
      <c r="MWA46" s="80"/>
      <c r="MWB46" s="80"/>
      <c r="MWC46" s="80"/>
      <c r="MWD46" s="80"/>
      <c r="MWE46" s="80"/>
      <c r="MWF46" s="80"/>
      <c r="MWG46" s="80"/>
      <c r="MWH46" s="80"/>
      <c r="MWI46" s="80"/>
      <c r="MWJ46" s="80"/>
      <c r="MWK46" s="80"/>
      <c r="MWL46" s="80"/>
      <c r="MWM46" s="80"/>
      <c r="MWN46" s="80"/>
      <c r="MWO46" s="80"/>
      <c r="MWP46" s="80"/>
      <c r="MWQ46" s="80"/>
      <c r="MWR46" s="80"/>
      <c r="MWS46" s="80"/>
      <c r="MWT46" s="80"/>
      <c r="MWU46" s="80"/>
      <c r="MWV46" s="80"/>
      <c r="MWW46" s="80"/>
      <c r="MWX46" s="80"/>
      <c r="MWY46" s="80"/>
      <c r="MWZ46" s="80"/>
      <c r="MXA46" s="80"/>
      <c r="MXB46" s="80"/>
      <c r="MXC46" s="80"/>
      <c r="MXD46" s="80"/>
      <c r="MXE46" s="80"/>
      <c r="MXF46" s="80"/>
      <c r="MXG46" s="80"/>
      <c r="MXH46" s="80"/>
      <c r="MXI46" s="80"/>
      <c r="MXJ46" s="80"/>
      <c r="MXK46" s="80"/>
      <c r="MXL46" s="80"/>
      <c r="MXM46" s="80"/>
      <c r="MXN46" s="80"/>
      <c r="MXO46" s="80"/>
      <c r="MXP46" s="80"/>
      <c r="MXQ46" s="80"/>
      <c r="MXR46" s="80"/>
      <c r="MXS46" s="80"/>
      <c r="MXT46" s="80"/>
      <c r="MXU46" s="80"/>
      <c r="MXV46" s="80"/>
      <c r="MXW46" s="80"/>
      <c r="MXX46" s="80"/>
      <c r="MXY46" s="80"/>
      <c r="MXZ46" s="80"/>
      <c r="MYA46" s="80"/>
      <c r="MYB46" s="80"/>
      <c r="MYC46" s="80"/>
      <c r="MYD46" s="80"/>
      <c r="MYE46" s="80"/>
      <c r="MYF46" s="80"/>
      <c r="MYG46" s="80"/>
      <c r="MYH46" s="80"/>
      <c r="MYI46" s="80"/>
      <c r="MYJ46" s="80"/>
      <c r="MYK46" s="80"/>
      <c r="MYL46" s="80"/>
      <c r="MYM46" s="80"/>
      <c r="MYN46" s="80"/>
      <c r="MYO46" s="80"/>
      <c r="MYP46" s="80"/>
      <c r="MYQ46" s="80"/>
      <c r="MYR46" s="80"/>
      <c r="MYS46" s="80"/>
      <c r="MYT46" s="80"/>
      <c r="MYU46" s="80"/>
      <c r="MYV46" s="80"/>
      <c r="MYW46" s="80"/>
      <c r="MYX46" s="80"/>
      <c r="MYY46" s="80"/>
      <c r="MYZ46" s="80"/>
      <c r="MZA46" s="80"/>
      <c r="MZB46" s="80"/>
      <c r="MZC46" s="80"/>
      <c r="MZD46" s="80"/>
      <c r="MZE46" s="80"/>
      <c r="MZF46" s="80"/>
      <c r="MZG46" s="80"/>
      <c r="MZH46" s="80"/>
      <c r="MZI46" s="80"/>
      <c r="MZJ46" s="80"/>
      <c r="MZK46" s="80"/>
      <c r="MZL46" s="80"/>
      <c r="MZM46" s="80"/>
      <c r="MZN46" s="80"/>
      <c r="MZO46" s="80"/>
      <c r="MZP46" s="80"/>
      <c r="MZQ46" s="80"/>
      <c r="MZR46" s="80"/>
      <c r="MZS46" s="80"/>
      <c r="MZT46" s="80"/>
      <c r="MZU46" s="80"/>
      <c r="MZV46" s="80"/>
      <c r="MZW46" s="80"/>
      <c r="MZX46" s="80"/>
      <c r="MZY46" s="80"/>
      <c r="MZZ46" s="80"/>
      <c r="NAA46" s="80"/>
      <c r="NAB46" s="80"/>
      <c r="NAC46" s="80"/>
      <c r="NAD46" s="80"/>
      <c r="NAE46" s="80"/>
      <c r="NAF46" s="80"/>
      <c r="NAG46" s="80"/>
      <c r="NAH46" s="80"/>
      <c r="NAI46" s="80"/>
      <c r="NAJ46" s="80"/>
      <c r="NAK46" s="80"/>
      <c r="NAL46" s="80"/>
      <c r="NAM46" s="80"/>
      <c r="NAN46" s="80"/>
      <c r="NAO46" s="80"/>
      <c r="NAP46" s="80"/>
      <c r="NAQ46" s="80"/>
      <c r="NAR46" s="80"/>
      <c r="NAS46" s="80"/>
      <c r="NAT46" s="80"/>
      <c r="NAU46" s="80"/>
      <c r="NAV46" s="80"/>
      <c r="NAW46" s="80"/>
      <c r="NAX46" s="80"/>
      <c r="NAY46" s="80"/>
      <c r="NAZ46" s="80"/>
      <c r="NBA46" s="80"/>
      <c r="NBB46" s="80"/>
      <c r="NBC46" s="80"/>
      <c r="NBD46" s="80"/>
      <c r="NBE46" s="80"/>
      <c r="NBF46" s="80"/>
      <c r="NBG46" s="80"/>
      <c r="NBH46" s="80"/>
      <c r="NBI46" s="80"/>
      <c r="NBJ46" s="80"/>
      <c r="NBK46" s="80"/>
      <c r="NBL46" s="80"/>
      <c r="NBM46" s="80"/>
      <c r="NBN46" s="80"/>
      <c r="NBO46" s="80"/>
      <c r="NBP46" s="80"/>
      <c r="NBQ46" s="80"/>
      <c r="NBR46" s="80"/>
      <c r="NBS46" s="80"/>
      <c r="NBT46" s="80"/>
      <c r="NBU46" s="80"/>
      <c r="NBV46" s="80"/>
      <c r="NBW46" s="80"/>
      <c r="NBX46" s="80"/>
      <c r="NBY46" s="80"/>
      <c r="NBZ46" s="80"/>
      <c r="NCA46" s="80"/>
      <c r="NCB46" s="80"/>
      <c r="NCC46" s="80"/>
      <c r="NCD46" s="80"/>
      <c r="NCE46" s="80"/>
      <c r="NCF46" s="80"/>
      <c r="NCG46" s="80"/>
      <c r="NCH46" s="80"/>
      <c r="NCI46" s="80"/>
      <c r="NCJ46" s="80"/>
      <c r="NCK46" s="80"/>
      <c r="NCL46" s="80"/>
      <c r="NCM46" s="80"/>
      <c r="NCN46" s="80"/>
      <c r="NCO46" s="80"/>
      <c r="NCP46" s="80"/>
      <c r="NCQ46" s="80"/>
      <c r="NCR46" s="80"/>
      <c r="NCS46" s="80"/>
      <c r="NCT46" s="80"/>
      <c r="NCU46" s="80"/>
      <c r="NCV46" s="80"/>
      <c r="NCW46" s="80"/>
      <c r="NCX46" s="80"/>
      <c r="NCY46" s="80"/>
      <c r="NCZ46" s="80"/>
      <c r="NDA46" s="80"/>
      <c r="NDB46" s="80"/>
      <c r="NDC46" s="80"/>
      <c r="NDD46" s="80"/>
      <c r="NDE46" s="80"/>
      <c r="NDF46" s="80"/>
      <c r="NDG46" s="80"/>
      <c r="NDH46" s="80"/>
      <c r="NDI46" s="80"/>
      <c r="NDJ46" s="80"/>
      <c r="NDK46" s="80"/>
      <c r="NDL46" s="80"/>
      <c r="NDM46" s="80"/>
      <c r="NDN46" s="80"/>
      <c r="NDO46" s="80"/>
      <c r="NDP46" s="80"/>
      <c r="NDQ46" s="80"/>
      <c r="NDR46" s="80"/>
      <c r="NDS46" s="80"/>
      <c r="NDT46" s="80"/>
      <c r="NDU46" s="80"/>
      <c r="NDV46" s="80"/>
      <c r="NDW46" s="80"/>
      <c r="NDX46" s="80"/>
      <c r="NDY46" s="80"/>
      <c r="NDZ46" s="80"/>
      <c r="NEA46" s="80"/>
      <c r="NEB46" s="80"/>
      <c r="NEC46" s="80"/>
      <c r="NED46" s="80"/>
      <c r="NEE46" s="80"/>
      <c r="NEF46" s="80"/>
      <c r="NEG46" s="80"/>
      <c r="NEH46" s="80"/>
      <c r="NEI46" s="80"/>
      <c r="NEJ46" s="80"/>
      <c r="NEK46" s="80"/>
      <c r="NEL46" s="80"/>
      <c r="NEM46" s="80"/>
      <c r="NEN46" s="80"/>
      <c r="NEO46" s="80"/>
      <c r="NEP46" s="80"/>
      <c r="NEQ46" s="80"/>
      <c r="NER46" s="80"/>
      <c r="NES46" s="80"/>
      <c r="NET46" s="80"/>
      <c r="NEU46" s="80"/>
      <c r="NEV46" s="80"/>
      <c r="NEW46" s="80"/>
      <c r="NEX46" s="80"/>
      <c r="NEY46" s="80"/>
      <c r="NEZ46" s="80"/>
      <c r="NFA46" s="80"/>
      <c r="NFB46" s="80"/>
      <c r="NFC46" s="80"/>
      <c r="NFD46" s="80"/>
      <c r="NFE46" s="80"/>
      <c r="NFF46" s="80"/>
      <c r="NFG46" s="80"/>
      <c r="NFH46" s="80"/>
      <c r="NFI46" s="80"/>
      <c r="NFJ46" s="80"/>
      <c r="NFK46" s="80"/>
      <c r="NFL46" s="80"/>
      <c r="NFM46" s="80"/>
      <c r="NFN46" s="80"/>
      <c r="NFO46" s="80"/>
      <c r="NFP46" s="80"/>
      <c r="NFQ46" s="80"/>
      <c r="NFR46" s="80"/>
      <c r="NFS46" s="80"/>
      <c r="NFT46" s="80"/>
      <c r="NFU46" s="80"/>
      <c r="NFV46" s="80"/>
      <c r="NFW46" s="80"/>
      <c r="NFX46" s="80"/>
      <c r="NFY46" s="80"/>
      <c r="NFZ46" s="80"/>
      <c r="NGA46" s="80"/>
      <c r="NGB46" s="80"/>
      <c r="NGC46" s="80"/>
      <c r="NGD46" s="80"/>
      <c r="NGE46" s="80"/>
      <c r="NGF46" s="80"/>
      <c r="NGG46" s="80"/>
      <c r="NGH46" s="80"/>
      <c r="NGI46" s="80"/>
      <c r="NGJ46" s="80"/>
      <c r="NGK46" s="80"/>
      <c r="NGL46" s="80"/>
      <c r="NGM46" s="80"/>
      <c r="NGN46" s="80"/>
      <c r="NGO46" s="80"/>
      <c r="NGP46" s="80"/>
      <c r="NGQ46" s="80"/>
      <c r="NGR46" s="80"/>
      <c r="NGS46" s="80"/>
      <c r="NGT46" s="80"/>
      <c r="NGU46" s="80"/>
      <c r="NGV46" s="80"/>
      <c r="NGW46" s="80"/>
      <c r="NGX46" s="80"/>
      <c r="NGY46" s="80"/>
      <c r="NGZ46" s="80"/>
      <c r="NHA46" s="80"/>
      <c r="NHB46" s="80"/>
      <c r="NHC46" s="80"/>
      <c r="NHD46" s="80"/>
      <c r="NHE46" s="80"/>
      <c r="NHF46" s="80"/>
      <c r="NHG46" s="80"/>
      <c r="NHH46" s="80"/>
      <c r="NHI46" s="80"/>
      <c r="NHJ46" s="80"/>
      <c r="NHK46" s="80"/>
      <c r="NHL46" s="80"/>
      <c r="NHM46" s="80"/>
      <c r="NHN46" s="80"/>
      <c r="NHO46" s="80"/>
      <c r="NHP46" s="80"/>
      <c r="NHQ46" s="80"/>
      <c r="NHR46" s="80"/>
      <c r="NHS46" s="80"/>
      <c r="NHT46" s="80"/>
      <c r="NHU46" s="80"/>
      <c r="NHV46" s="80"/>
      <c r="NHW46" s="80"/>
      <c r="NHX46" s="80"/>
      <c r="NHY46" s="80"/>
      <c r="NHZ46" s="80"/>
      <c r="NIA46" s="80"/>
      <c r="NIB46" s="80"/>
      <c r="NIC46" s="80"/>
      <c r="NID46" s="80"/>
      <c r="NIE46" s="80"/>
      <c r="NIF46" s="80"/>
      <c r="NIG46" s="80"/>
      <c r="NIH46" s="80"/>
      <c r="NII46" s="80"/>
      <c r="NIJ46" s="80"/>
      <c r="NIK46" s="80"/>
      <c r="NIL46" s="80"/>
      <c r="NIM46" s="80"/>
      <c r="NIN46" s="80"/>
      <c r="NIO46" s="80"/>
      <c r="NIP46" s="80"/>
      <c r="NIQ46" s="80"/>
      <c r="NIR46" s="80"/>
      <c r="NIS46" s="80"/>
      <c r="NIT46" s="80"/>
      <c r="NIU46" s="80"/>
      <c r="NIV46" s="80"/>
      <c r="NIW46" s="80"/>
      <c r="NIX46" s="80"/>
      <c r="NIY46" s="80"/>
      <c r="NIZ46" s="80"/>
      <c r="NJA46" s="80"/>
      <c r="NJB46" s="80"/>
      <c r="NJC46" s="80"/>
      <c r="NJD46" s="80"/>
      <c r="NJE46" s="80"/>
      <c r="NJF46" s="80"/>
      <c r="NJG46" s="80"/>
      <c r="NJH46" s="80"/>
      <c r="NJI46" s="80"/>
      <c r="NJJ46" s="80"/>
      <c r="NJK46" s="80"/>
      <c r="NJL46" s="80"/>
      <c r="NJM46" s="80"/>
      <c r="NJN46" s="80"/>
      <c r="NJO46" s="80"/>
      <c r="NJP46" s="80"/>
      <c r="NJQ46" s="80"/>
      <c r="NJR46" s="80"/>
      <c r="NJS46" s="80"/>
      <c r="NJT46" s="80"/>
      <c r="NJU46" s="80"/>
      <c r="NJV46" s="80"/>
      <c r="NJW46" s="80"/>
      <c r="NJX46" s="80"/>
      <c r="NJY46" s="80"/>
      <c r="NJZ46" s="80"/>
      <c r="NKA46" s="80"/>
      <c r="NKB46" s="80"/>
      <c r="NKC46" s="80"/>
      <c r="NKD46" s="80"/>
      <c r="NKE46" s="80"/>
      <c r="NKF46" s="80"/>
      <c r="NKG46" s="80"/>
      <c r="NKH46" s="80"/>
      <c r="NKI46" s="80"/>
      <c r="NKJ46" s="80"/>
      <c r="NKK46" s="80"/>
      <c r="NKL46" s="80"/>
      <c r="NKM46" s="80"/>
      <c r="NKN46" s="80"/>
      <c r="NKO46" s="80"/>
      <c r="NKP46" s="80"/>
      <c r="NKQ46" s="80"/>
      <c r="NKR46" s="80"/>
      <c r="NKS46" s="80"/>
      <c r="NKT46" s="80"/>
      <c r="NKU46" s="80"/>
      <c r="NKV46" s="80"/>
      <c r="NKW46" s="80"/>
      <c r="NKX46" s="80"/>
      <c r="NKY46" s="80"/>
      <c r="NKZ46" s="80"/>
      <c r="NLA46" s="80"/>
      <c r="NLB46" s="80"/>
      <c r="NLC46" s="80"/>
      <c r="NLD46" s="80"/>
      <c r="NLE46" s="80"/>
      <c r="NLF46" s="80"/>
      <c r="NLG46" s="80"/>
      <c r="NLH46" s="80"/>
      <c r="NLI46" s="80"/>
      <c r="NLJ46" s="80"/>
      <c r="NLK46" s="80"/>
      <c r="NLL46" s="80"/>
      <c r="NLM46" s="80"/>
      <c r="NLN46" s="80"/>
      <c r="NLO46" s="80"/>
      <c r="NLP46" s="80"/>
      <c r="NLQ46" s="80"/>
      <c r="NLR46" s="80"/>
      <c r="NLS46" s="80"/>
      <c r="NLT46" s="80"/>
      <c r="NLU46" s="80"/>
      <c r="NLV46" s="80"/>
      <c r="NLW46" s="80"/>
      <c r="NLX46" s="80"/>
      <c r="NLY46" s="80"/>
      <c r="NLZ46" s="80"/>
      <c r="NMA46" s="80"/>
      <c r="NMB46" s="80"/>
      <c r="NMC46" s="80"/>
      <c r="NMD46" s="80"/>
      <c r="NME46" s="80"/>
      <c r="NMF46" s="80"/>
      <c r="NMG46" s="80"/>
      <c r="NMH46" s="80"/>
      <c r="NMI46" s="80"/>
      <c r="NMJ46" s="80"/>
      <c r="NMK46" s="80"/>
      <c r="NML46" s="80"/>
      <c r="NMM46" s="80"/>
      <c r="NMN46" s="80"/>
      <c r="NMO46" s="80"/>
      <c r="NMP46" s="80"/>
      <c r="NMQ46" s="80"/>
      <c r="NMR46" s="80"/>
      <c r="NMS46" s="80"/>
      <c r="NMT46" s="80"/>
      <c r="NMU46" s="80"/>
      <c r="NMV46" s="80"/>
      <c r="NMW46" s="80"/>
      <c r="NMX46" s="80"/>
      <c r="NMY46" s="80"/>
      <c r="NMZ46" s="80"/>
      <c r="NNA46" s="80"/>
      <c r="NNB46" s="80"/>
      <c r="NNC46" s="80"/>
      <c r="NND46" s="80"/>
      <c r="NNE46" s="80"/>
      <c r="NNF46" s="80"/>
      <c r="NNG46" s="80"/>
      <c r="NNH46" s="80"/>
      <c r="NNI46" s="80"/>
      <c r="NNJ46" s="80"/>
      <c r="NNK46" s="80"/>
      <c r="NNL46" s="80"/>
      <c r="NNM46" s="80"/>
      <c r="NNN46" s="80"/>
      <c r="NNO46" s="80"/>
      <c r="NNP46" s="80"/>
      <c r="NNQ46" s="80"/>
      <c r="NNR46" s="80"/>
      <c r="NNS46" s="80"/>
      <c r="NNT46" s="80"/>
      <c r="NNU46" s="80"/>
      <c r="NNV46" s="80"/>
      <c r="NNW46" s="80"/>
      <c r="NNX46" s="80"/>
      <c r="NNY46" s="80"/>
      <c r="NNZ46" s="80"/>
      <c r="NOA46" s="80"/>
      <c r="NOB46" s="80"/>
      <c r="NOC46" s="80"/>
      <c r="NOD46" s="80"/>
      <c r="NOE46" s="80"/>
      <c r="NOF46" s="80"/>
      <c r="NOG46" s="80"/>
      <c r="NOH46" s="80"/>
      <c r="NOI46" s="80"/>
      <c r="NOJ46" s="80"/>
      <c r="NOK46" s="80"/>
      <c r="NOL46" s="80"/>
      <c r="NOM46" s="80"/>
      <c r="NON46" s="80"/>
      <c r="NOO46" s="80"/>
      <c r="NOP46" s="80"/>
      <c r="NOQ46" s="80"/>
      <c r="NOR46" s="80"/>
      <c r="NOS46" s="80"/>
      <c r="NOT46" s="80"/>
      <c r="NOU46" s="80"/>
      <c r="NOV46" s="80"/>
      <c r="NOW46" s="80"/>
      <c r="NOX46" s="80"/>
      <c r="NOY46" s="80"/>
      <c r="NOZ46" s="80"/>
      <c r="NPA46" s="80"/>
      <c r="NPB46" s="80"/>
      <c r="NPC46" s="80"/>
      <c r="NPD46" s="80"/>
      <c r="NPE46" s="80"/>
      <c r="NPF46" s="80"/>
      <c r="NPG46" s="80"/>
      <c r="NPH46" s="80"/>
      <c r="NPI46" s="80"/>
      <c r="NPJ46" s="80"/>
      <c r="NPK46" s="80"/>
      <c r="NPL46" s="80"/>
      <c r="NPM46" s="80"/>
      <c r="NPN46" s="80"/>
      <c r="NPO46" s="80"/>
      <c r="NPP46" s="80"/>
      <c r="NPQ46" s="80"/>
      <c r="NPR46" s="80"/>
      <c r="NPS46" s="80"/>
      <c r="NPT46" s="80"/>
      <c r="NPU46" s="80"/>
      <c r="NPV46" s="80"/>
      <c r="NPW46" s="80"/>
      <c r="NPX46" s="80"/>
      <c r="NPY46" s="80"/>
      <c r="NPZ46" s="80"/>
      <c r="NQA46" s="80"/>
      <c r="NQB46" s="80"/>
      <c r="NQC46" s="80"/>
      <c r="NQD46" s="80"/>
      <c r="NQE46" s="80"/>
      <c r="NQF46" s="80"/>
      <c r="NQG46" s="80"/>
      <c r="NQH46" s="80"/>
      <c r="NQI46" s="80"/>
      <c r="NQJ46" s="80"/>
      <c r="NQK46" s="80"/>
      <c r="NQL46" s="80"/>
      <c r="NQM46" s="80"/>
      <c r="NQN46" s="80"/>
      <c r="NQO46" s="80"/>
      <c r="NQP46" s="80"/>
      <c r="NQQ46" s="80"/>
      <c r="NQR46" s="80"/>
      <c r="NQS46" s="80"/>
      <c r="NQT46" s="80"/>
      <c r="NQU46" s="80"/>
      <c r="NQV46" s="80"/>
      <c r="NQW46" s="80"/>
      <c r="NQX46" s="80"/>
      <c r="NQY46" s="80"/>
      <c r="NQZ46" s="80"/>
      <c r="NRA46" s="80"/>
      <c r="NRB46" s="80"/>
      <c r="NRC46" s="80"/>
      <c r="NRD46" s="80"/>
      <c r="NRE46" s="80"/>
      <c r="NRF46" s="80"/>
      <c r="NRG46" s="80"/>
      <c r="NRH46" s="80"/>
      <c r="NRI46" s="80"/>
      <c r="NRJ46" s="80"/>
      <c r="NRK46" s="80"/>
      <c r="NRL46" s="80"/>
      <c r="NRM46" s="80"/>
      <c r="NRN46" s="80"/>
      <c r="NRO46" s="80"/>
      <c r="NRP46" s="80"/>
      <c r="NRQ46" s="80"/>
      <c r="NRR46" s="80"/>
      <c r="NRS46" s="80"/>
      <c r="NRT46" s="80"/>
      <c r="NRU46" s="80"/>
      <c r="NRV46" s="80"/>
      <c r="NRW46" s="80"/>
      <c r="NRX46" s="80"/>
      <c r="NRY46" s="80"/>
      <c r="NRZ46" s="80"/>
      <c r="NSA46" s="80"/>
      <c r="NSB46" s="80"/>
      <c r="NSC46" s="80"/>
      <c r="NSD46" s="80"/>
      <c r="NSE46" s="80"/>
      <c r="NSF46" s="80"/>
      <c r="NSG46" s="80"/>
      <c r="NSH46" s="80"/>
      <c r="NSI46" s="80"/>
      <c r="NSJ46" s="80"/>
      <c r="NSK46" s="80"/>
      <c r="NSL46" s="80"/>
      <c r="NSM46" s="80"/>
      <c r="NSN46" s="80"/>
      <c r="NSO46" s="80"/>
      <c r="NSP46" s="80"/>
      <c r="NSQ46" s="80"/>
      <c r="NSR46" s="80"/>
      <c r="NSS46" s="80"/>
      <c r="NST46" s="80"/>
      <c r="NSU46" s="80"/>
      <c r="NSV46" s="80"/>
      <c r="NSW46" s="80"/>
      <c r="NSX46" s="80"/>
      <c r="NSY46" s="80"/>
      <c r="NSZ46" s="80"/>
      <c r="NTA46" s="80"/>
      <c r="NTB46" s="80"/>
      <c r="NTC46" s="80"/>
      <c r="NTD46" s="80"/>
      <c r="NTE46" s="80"/>
      <c r="NTF46" s="80"/>
      <c r="NTG46" s="80"/>
      <c r="NTH46" s="80"/>
      <c r="NTI46" s="80"/>
      <c r="NTJ46" s="80"/>
      <c r="NTK46" s="80"/>
      <c r="NTL46" s="80"/>
      <c r="NTM46" s="80"/>
      <c r="NTN46" s="80"/>
      <c r="NTO46" s="80"/>
      <c r="NTP46" s="80"/>
      <c r="NTQ46" s="80"/>
      <c r="NTR46" s="80"/>
      <c r="NTS46" s="80"/>
      <c r="NTT46" s="80"/>
      <c r="NTU46" s="80"/>
      <c r="NTV46" s="80"/>
      <c r="NTW46" s="80"/>
      <c r="NTX46" s="80"/>
      <c r="NTY46" s="80"/>
      <c r="NTZ46" s="80"/>
      <c r="NUA46" s="80"/>
      <c r="NUB46" s="80"/>
      <c r="NUC46" s="80"/>
      <c r="NUD46" s="80"/>
      <c r="NUE46" s="80"/>
      <c r="NUF46" s="80"/>
      <c r="NUG46" s="80"/>
      <c r="NUH46" s="80"/>
      <c r="NUI46" s="80"/>
      <c r="NUJ46" s="80"/>
      <c r="NUK46" s="80"/>
      <c r="NUL46" s="80"/>
      <c r="NUM46" s="80"/>
      <c r="NUN46" s="80"/>
      <c r="NUO46" s="80"/>
      <c r="NUP46" s="80"/>
      <c r="NUQ46" s="80"/>
      <c r="NUR46" s="80"/>
      <c r="NUS46" s="80"/>
      <c r="NUT46" s="80"/>
      <c r="NUU46" s="80"/>
      <c r="NUV46" s="80"/>
      <c r="NUW46" s="80"/>
      <c r="NUX46" s="80"/>
      <c r="NUY46" s="80"/>
      <c r="NUZ46" s="80"/>
      <c r="NVA46" s="80"/>
      <c r="NVB46" s="80"/>
      <c r="NVC46" s="80"/>
      <c r="NVD46" s="80"/>
      <c r="NVE46" s="80"/>
      <c r="NVF46" s="80"/>
      <c r="NVG46" s="80"/>
      <c r="NVH46" s="80"/>
      <c r="NVI46" s="80"/>
      <c r="NVJ46" s="80"/>
      <c r="NVK46" s="80"/>
      <c r="NVL46" s="80"/>
      <c r="NVM46" s="80"/>
      <c r="NVN46" s="80"/>
      <c r="NVO46" s="80"/>
      <c r="NVP46" s="80"/>
      <c r="NVQ46" s="80"/>
      <c r="NVR46" s="80"/>
      <c r="NVS46" s="80"/>
      <c r="NVT46" s="80"/>
      <c r="NVU46" s="80"/>
      <c r="NVV46" s="80"/>
      <c r="NVW46" s="80"/>
      <c r="NVX46" s="80"/>
      <c r="NVY46" s="80"/>
      <c r="NVZ46" s="80"/>
      <c r="NWA46" s="80"/>
      <c r="NWB46" s="80"/>
      <c r="NWC46" s="80"/>
      <c r="NWD46" s="80"/>
      <c r="NWE46" s="80"/>
      <c r="NWF46" s="80"/>
      <c r="NWG46" s="80"/>
      <c r="NWH46" s="80"/>
      <c r="NWI46" s="80"/>
      <c r="NWJ46" s="80"/>
      <c r="NWK46" s="80"/>
      <c r="NWL46" s="80"/>
      <c r="NWM46" s="80"/>
      <c r="NWN46" s="80"/>
      <c r="NWO46" s="80"/>
      <c r="NWP46" s="80"/>
      <c r="NWQ46" s="80"/>
      <c r="NWR46" s="80"/>
      <c r="NWS46" s="80"/>
      <c r="NWT46" s="80"/>
      <c r="NWU46" s="80"/>
      <c r="NWV46" s="80"/>
      <c r="NWW46" s="80"/>
      <c r="NWX46" s="80"/>
      <c r="NWY46" s="80"/>
      <c r="NWZ46" s="80"/>
      <c r="NXA46" s="80"/>
      <c r="NXB46" s="80"/>
      <c r="NXC46" s="80"/>
      <c r="NXD46" s="80"/>
      <c r="NXE46" s="80"/>
      <c r="NXF46" s="80"/>
      <c r="NXG46" s="80"/>
      <c r="NXH46" s="80"/>
      <c r="NXI46" s="80"/>
      <c r="NXJ46" s="80"/>
      <c r="NXK46" s="80"/>
      <c r="NXL46" s="80"/>
      <c r="NXM46" s="80"/>
      <c r="NXN46" s="80"/>
      <c r="NXO46" s="80"/>
      <c r="NXP46" s="80"/>
      <c r="NXQ46" s="80"/>
      <c r="NXR46" s="80"/>
      <c r="NXS46" s="80"/>
      <c r="NXT46" s="80"/>
      <c r="NXU46" s="80"/>
      <c r="NXV46" s="80"/>
      <c r="NXW46" s="80"/>
      <c r="NXX46" s="80"/>
      <c r="NXY46" s="80"/>
      <c r="NXZ46" s="80"/>
      <c r="NYA46" s="80"/>
      <c r="NYB46" s="80"/>
      <c r="NYC46" s="80"/>
      <c r="NYD46" s="80"/>
      <c r="NYE46" s="80"/>
      <c r="NYF46" s="80"/>
      <c r="NYG46" s="80"/>
      <c r="NYH46" s="80"/>
      <c r="NYI46" s="80"/>
      <c r="NYJ46" s="80"/>
      <c r="NYK46" s="80"/>
      <c r="NYL46" s="80"/>
      <c r="NYM46" s="80"/>
      <c r="NYN46" s="80"/>
      <c r="NYO46" s="80"/>
      <c r="NYP46" s="80"/>
      <c r="NYQ46" s="80"/>
      <c r="NYR46" s="80"/>
      <c r="NYS46" s="80"/>
      <c r="NYT46" s="80"/>
      <c r="NYU46" s="80"/>
      <c r="NYV46" s="80"/>
      <c r="NYW46" s="80"/>
      <c r="NYX46" s="80"/>
      <c r="NYY46" s="80"/>
      <c r="NYZ46" s="80"/>
      <c r="NZA46" s="80"/>
      <c r="NZB46" s="80"/>
      <c r="NZC46" s="80"/>
      <c r="NZD46" s="80"/>
      <c r="NZE46" s="80"/>
      <c r="NZF46" s="80"/>
      <c r="NZG46" s="80"/>
      <c r="NZH46" s="80"/>
      <c r="NZI46" s="80"/>
      <c r="NZJ46" s="80"/>
      <c r="NZK46" s="80"/>
      <c r="NZL46" s="80"/>
      <c r="NZM46" s="80"/>
      <c r="NZN46" s="80"/>
      <c r="NZO46" s="80"/>
      <c r="NZP46" s="80"/>
      <c r="NZQ46" s="80"/>
      <c r="NZR46" s="80"/>
      <c r="NZS46" s="80"/>
      <c r="NZT46" s="80"/>
      <c r="NZU46" s="80"/>
      <c r="NZV46" s="80"/>
      <c r="NZW46" s="80"/>
      <c r="NZX46" s="80"/>
      <c r="NZY46" s="80"/>
      <c r="NZZ46" s="80"/>
      <c r="OAA46" s="80"/>
      <c r="OAB46" s="80"/>
      <c r="OAC46" s="80"/>
      <c r="OAD46" s="80"/>
      <c r="OAE46" s="80"/>
      <c r="OAF46" s="80"/>
      <c r="OAG46" s="80"/>
      <c r="OAH46" s="80"/>
      <c r="OAI46" s="80"/>
      <c r="OAJ46" s="80"/>
      <c r="OAK46" s="80"/>
      <c r="OAL46" s="80"/>
      <c r="OAM46" s="80"/>
      <c r="OAN46" s="80"/>
      <c r="OAO46" s="80"/>
      <c r="OAP46" s="80"/>
      <c r="OAQ46" s="80"/>
      <c r="OAR46" s="80"/>
      <c r="OAS46" s="80"/>
      <c r="OAT46" s="80"/>
      <c r="OAU46" s="80"/>
      <c r="OAV46" s="80"/>
      <c r="OAW46" s="80"/>
      <c r="OAX46" s="80"/>
      <c r="OAY46" s="80"/>
      <c r="OAZ46" s="80"/>
      <c r="OBA46" s="80"/>
      <c r="OBB46" s="80"/>
      <c r="OBC46" s="80"/>
      <c r="OBD46" s="80"/>
      <c r="OBE46" s="80"/>
      <c r="OBF46" s="80"/>
      <c r="OBG46" s="80"/>
      <c r="OBH46" s="80"/>
      <c r="OBI46" s="80"/>
      <c r="OBJ46" s="80"/>
      <c r="OBK46" s="80"/>
      <c r="OBL46" s="80"/>
      <c r="OBM46" s="80"/>
      <c r="OBN46" s="80"/>
      <c r="OBO46" s="80"/>
      <c r="OBP46" s="80"/>
      <c r="OBQ46" s="80"/>
      <c r="OBR46" s="80"/>
      <c r="OBS46" s="80"/>
      <c r="OBT46" s="80"/>
      <c r="OBU46" s="80"/>
      <c r="OBV46" s="80"/>
      <c r="OBW46" s="80"/>
      <c r="OBX46" s="80"/>
      <c r="OBY46" s="80"/>
      <c r="OBZ46" s="80"/>
      <c r="OCA46" s="80"/>
      <c r="OCB46" s="80"/>
      <c r="OCC46" s="80"/>
      <c r="OCD46" s="80"/>
      <c r="OCE46" s="80"/>
      <c r="OCF46" s="80"/>
      <c r="OCG46" s="80"/>
      <c r="OCH46" s="80"/>
      <c r="OCI46" s="80"/>
      <c r="OCJ46" s="80"/>
      <c r="OCK46" s="80"/>
      <c r="OCL46" s="80"/>
      <c r="OCM46" s="80"/>
      <c r="OCN46" s="80"/>
      <c r="OCO46" s="80"/>
      <c r="OCP46" s="80"/>
      <c r="OCQ46" s="80"/>
      <c r="OCR46" s="80"/>
      <c r="OCS46" s="80"/>
      <c r="OCT46" s="80"/>
      <c r="OCU46" s="80"/>
      <c r="OCV46" s="80"/>
      <c r="OCW46" s="80"/>
      <c r="OCX46" s="80"/>
      <c r="OCY46" s="80"/>
      <c r="OCZ46" s="80"/>
      <c r="ODA46" s="80"/>
      <c r="ODB46" s="80"/>
      <c r="ODC46" s="80"/>
      <c r="ODD46" s="80"/>
      <c r="ODE46" s="80"/>
      <c r="ODF46" s="80"/>
      <c r="ODG46" s="80"/>
      <c r="ODH46" s="80"/>
      <c r="ODI46" s="80"/>
      <c r="ODJ46" s="80"/>
      <c r="ODK46" s="80"/>
      <c r="ODL46" s="80"/>
      <c r="ODM46" s="80"/>
      <c r="ODN46" s="80"/>
      <c r="ODO46" s="80"/>
      <c r="ODP46" s="80"/>
      <c r="ODQ46" s="80"/>
      <c r="ODR46" s="80"/>
      <c r="ODS46" s="80"/>
      <c r="ODT46" s="80"/>
      <c r="ODU46" s="80"/>
      <c r="ODV46" s="80"/>
      <c r="ODW46" s="80"/>
      <c r="ODX46" s="80"/>
      <c r="ODY46" s="80"/>
      <c r="ODZ46" s="80"/>
      <c r="OEA46" s="80"/>
      <c r="OEB46" s="80"/>
      <c r="OEC46" s="80"/>
      <c r="OED46" s="80"/>
      <c r="OEE46" s="80"/>
      <c r="OEF46" s="80"/>
      <c r="OEG46" s="80"/>
      <c r="OEH46" s="80"/>
      <c r="OEI46" s="80"/>
      <c r="OEJ46" s="80"/>
      <c r="OEK46" s="80"/>
      <c r="OEL46" s="80"/>
      <c r="OEM46" s="80"/>
      <c r="OEN46" s="80"/>
      <c r="OEO46" s="80"/>
      <c r="OEP46" s="80"/>
      <c r="OEQ46" s="80"/>
      <c r="OER46" s="80"/>
      <c r="OES46" s="80"/>
      <c r="OET46" s="80"/>
      <c r="OEU46" s="80"/>
      <c r="OEV46" s="80"/>
      <c r="OEW46" s="80"/>
      <c r="OEX46" s="80"/>
      <c r="OEY46" s="80"/>
      <c r="OEZ46" s="80"/>
      <c r="OFA46" s="80"/>
      <c r="OFB46" s="80"/>
      <c r="OFC46" s="80"/>
      <c r="OFD46" s="80"/>
      <c r="OFE46" s="80"/>
      <c r="OFF46" s="80"/>
      <c r="OFG46" s="80"/>
      <c r="OFH46" s="80"/>
      <c r="OFI46" s="80"/>
      <c r="OFJ46" s="80"/>
      <c r="OFK46" s="80"/>
      <c r="OFL46" s="80"/>
      <c r="OFM46" s="80"/>
      <c r="OFN46" s="80"/>
      <c r="OFO46" s="80"/>
      <c r="OFP46" s="80"/>
      <c r="OFQ46" s="80"/>
      <c r="OFR46" s="80"/>
      <c r="OFS46" s="80"/>
      <c r="OFT46" s="80"/>
      <c r="OFU46" s="80"/>
      <c r="OFV46" s="80"/>
      <c r="OFW46" s="80"/>
      <c r="OFX46" s="80"/>
      <c r="OFY46" s="80"/>
      <c r="OFZ46" s="80"/>
      <c r="OGA46" s="80"/>
      <c r="OGB46" s="80"/>
      <c r="OGC46" s="80"/>
      <c r="OGD46" s="80"/>
      <c r="OGE46" s="80"/>
      <c r="OGF46" s="80"/>
      <c r="OGG46" s="80"/>
      <c r="OGH46" s="80"/>
      <c r="OGI46" s="80"/>
      <c r="OGJ46" s="80"/>
      <c r="OGK46" s="80"/>
      <c r="OGL46" s="80"/>
      <c r="OGM46" s="80"/>
      <c r="OGN46" s="80"/>
      <c r="OGO46" s="80"/>
      <c r="OGP46" s="80"/>
      <c r="OGQ46" s="80"/>
      <c r="OGR46" s="80"/>
      <c r="OGS46" s="80"/>
      <c r="OGT46" s="80"/>
      <c r="OGU46" s="80"/>
      <c r="OGV46" s="80"/>
      <c r="OGW46" s="80"/>
      <c r="OGX46" s="80"/>
      <c r="OGY46" s="80"/>
      <c r="OGZ46" s="80"/>
      <c r="OHA46" s="80"/>
      <c r="OHB46" s="80"/>
      <c r="OHC46" s="80"/>
      <c r="OHD46" s="80"/>
      <c r="OHE46" s="80"/>
      <c r="OHF46" s="80"/>
      <c r="OHG46" s="80"/>
      <c r="OHH46" s="80"/>
      <c r="OHI46" s="80"/>
      <c r="OHJ46" s="80"/>
      <c r="OHK46" s="80"/>
      <c r="OHL46" s="80"/>
      <c r="OHM46" s="80"/>
      <c r="OHN46" s="80"/>
      <c r="OHO46" s="80"/>
      <c r="OHP46" s="80"/>
      <c r="OHQ46" s="80"/>
      <c r="OHR46" s="80"/>
      <c r="OHS46" s="80"/>
      <c r="OHT46" s="80"/>
      <c r="OHU46" s="80"/>
      <c r="OHV46" s="80"/>
      <c r="OHW46" s="80"/>
      <c r="OHX46" s="80"/>
      <c r="OHY46" s="80"/>
      <c r="OHZ46" s="80"/>
      <c r="OIA46" s="80"/>
      <c r="OIB46" s="80"/>
      <c r="OIC46" s="80"/>
      <c r="OID46" s="80"/>
      <c r="OIE46" s="80"/>
      <c r="OIF46" s="80"/>
      <c r="OIG46" s="80"/>
      <c r="OIH46" s="80"/>
      <c r="OII46" s="80"/>
      <c r="OIJ46" s="80"/>
      <c r="OIK46" s="80"/>
      <c r="OIL46" s="80"/>
      <c r="OIM46" s="80"/>
      <c r="OIN46" s="80"/>
      <c r="OIO46" s="80"/>
      <c r="OIP46" s="80"/>
      <c r="OIQ46" s="80"/>
      <c r="OIR46" s="80"/>
      <c r="OIS46" s="80"/>
      <c r="OIT46" s="80"/>
      <c r="OIU46" s="80"/>
      <c r="OIV46" s="80"/>
      <c r="OIW46" s="80"/>
      <c r="OIX46" s="80"/>
      <c r="OIY46" s="80"/>
      <c r="OIZ46" s="80"/>
      <c r="OJA46" s="80"/>
      <c r="OJB46" s="80"/>
      <c r="OJC46" s="80"/>
      <c r="OJD46" s="80"/>
      <c r="OJE46" s="80"/>
      <c r="OJF46" s="80"/>
      <c r="OJG46" s="80"/>
      <c r="OJH46" s="80"/>
      <c r="OJI46" s="80"/>
      <c r="OJJ46" s="80"/>
      <c r="OJK46" s="80"/>
      <c r="OJL46" s="80"/>
      <c r="OJM46" s="80"/>
      <c r="OJN46" s="80"/>
      <c r="OJO46" s="80"/>
      <c r="OJP46" s="80"/>
      <c r="OJQ46" s="80"/>
      <c r="OJR46" s="80"/>
      <c r="OJS46" s="80"/>
      <c r="OJT46" s="80"/>
      <c r="OJU46" s="80"/>
      <c r="OJV46" s="80"/>
      <c r="OJW46" s="80"/>
      <c r="OJX46" s="80"/>
      <c r="OJY46" s="80"/>
      <c r="OJZ46" s="80"/>
      <c r="OKA46" s="80"/>
      <c r="OKB46" s="80"/>
      <c r="OKC46" s="80"/>
      <c r="OKD46" s="80"/>
      <c r="OKE46" s="80"/>
      <c r="OKF46" s="80"/>
      <c r="OKG46" s="80"/>
      <c r="OKH46" s="80"/>
      <c r="OKI46" s="80"/>
      <c r="OKJ46" s="80"/>
      <c r="OKK46" s="80"/>
      <c r="OKL46" s="80"/>
      <c r="OKM46" s="80"/>
      <c r="OKN46" s="80"/>
      <c r="OKO46" s="80"/>
      <c r="OKP46" s="80"/>
      <c r="OKQ46" s="80"/>
      <c r="OKR46" s="80"/>
      <c r="OKS46" s="80"/>
      <c r="OKT46" s="80"/>
      <c r="OKU46" s="80"/>
      <c r="OKV46" s="80"/>
      <c r="OKW46" s="80"/>
      <c r="OKX46" s="80"/>
      <c r="OKY46" s="80"/>
      <c r="OKZ46" s="80"/>
      <c r="OLA46" s="80"/>
      <c r="OLB46" s="80"/>
      <c r="OLC46" s="80"/>
      <c r="OLD46" s="80"/>
      <c r="OLE46" s="80"/>
      <c r="OLF46" s="80"/>
      <c r="OLG46" s="80"/>
      <c r="OLH46" s="80"/>
      <c r="OLI46" s="80"/>
      <c r="OLJ46" s="80"/>
      <c r="OLK46" s="80"/>
      <c r="OLL46" s="80"/>
      <c r="OLM46" s="80"/>
      <c r="OLN46" s="80"/>
      <c r="OLO46" s="80"/>
      <c r="OLP46" s="80"/>
      <c r="OLQ46" s="80"/>
      <c r="OLR46" s="80"/>
      <c r="OLS46" s="80"/>
      <c r="OLT46" s="80"/>
      <c r="OLU46" s="80"/>
      <c r="OLV46" s="80"/>
      <c r="OLW46" s="80"/>
      <c r="OLX46" s="80"/>
      <c r="OLY46" s="80"/>
      <c r="OLZ46" s="80"/>
      <c r="OMA46" s="80"/>
      <c r="OMB46" s="80"/>
      <c r="OMC46" s="80"/>
      <c r="OMD46" s="80"/>
      <c r="OME46" s="80"/>
      <c r="OMF46" s="80"/>
      <c r="OMG46" s="80"/>
      <c r="OMH46" s="80"/>
      <c r="OMI46" s="80"/>
      <c r="OMJ46" s="80"/>
      <c r="OMK46" s="80"/>
      <c r="OML46" s="80"/>
      <c r="OMM46" s="80"/>
      <c r="OMN46" s="80"/>
      <c r="OMO46" s="80"/>
      <c r="OMP46" s="80"/>
      <c r="OMQ46" s="80"/>
      <c r="OMR46" s="80"/>
      <c r="OMS46" s="80"/>
      <c r="OMT46" s="80"/>
      <c r="OMU46" s="80"/>
      <c r="OMV46" s="80"/>
      <c r="OMW46" s="80"/>
      <c r="OMX46" s="80"/>
      <c r="OMY46" s="80"/>
      <c r="OMZ46" s="80"/>
      <c r="ONA46" s="80"/>
      <c r="ONB46" s="80"/>
      <c r="ONC46" s="80"/>
      <c r="OND46" s="80"/>
      <c r="ONE46" s="80"/>
      <c r="ONF46" s="80"/>
      <c r="ONG46" s="80"/>
      <c r="ONH46" s="80"/>
      <c r="ONI46" s="80"/>
      <c r="ONJ46" s="80"/>
      <c r="ONK46" s="80"/>
      <c r="ONL46" s="80"/>
      <c r="ONM46" s="80"/>
      <c r="ONN46" s="80"/>
      <c r="ONO46" s="80"/>
      <c r="ONP46" s="80"/>
      <c r="ONQ46" s="80"/>
      <c r="ONR46" s="80"/>
      <c r="ONS46" s="80"/>
      <c r="ONT46" s="80"/>
      <c r="ONU46" s="80"/>
      <c r="ONV46" s="80"/>
      <c r="ONW46" s="80"/>
      <c r="ONX46" s="80"/>
      <c r="ONY46" s="80"/>
      <c r="ONZ46" s="80"/>
      <c r="OOA46" s="80"/>
      <c r="OOB46" s="80"/>
      <c r="OOC46" s="80"/>
      <c r="OOD46" s="80"/>
      <c r="OOE46" s="80"/>
      <c r="OOF46" s="80"/>
      <c r="OOG46" s="80"/>
      <c r="OOH46" s="80"/>
      <c r="OOI46" s="80"/>
      <c r="OOJ46" s="80"/>
      <c r="OOK46" s="80"/>
      <c r="OOL46" s="80"/>
      <c r="OOM46" s="80"/>
      <c r="OON46" s="80"/>
      <c r="OOO46" s="80"/>
      <c r="OOP46" s="80"/>
      <c r="OOQ46" s="80"/>
      <c r="OOR46" s="80"/>
      <c r="OOS46" s="80"/>
      <c r="OOT46" s="80"/>
      <c r="OOU46" s="80"/>
      <c r="OOV46" s="80"/>
      <c r="OOW46" s="80"/>
      <c r="OOX46" s="80"/>
      <c r="OOY46" s="80"/>
      <c r="OOZ46" s="80"/>
      <c r="OPA46" s="80"/>
      <c r="OPB46" s="80"/>
      <c r="OPC46" s="80"/>
      <c r="OPD46" s="80"/>
      <c r="OPE46" s="80"/>
      <c r="OPF46" s="80"/>
      <c r="OPG46" s="80"/>
      <c r="OPH46" s="80"/>
      <c r="OPI46" s="80"/>
      <c r="OPJ46" s="80"/>
      <c r="OPK46" s="80"/>
      <c r="OPL46" s="80"/>
      <c r="OPM46" s="80"/>
      <c r="OPN46" s="80"/>
      <c r="OPO46" s="80"/>
      <c r="OPP46" s="80"/>
      <c r="OPQ46" s="80"/>
      <c r="OPR46" s="80"/>
      <c r="OPS46" s="80"/>
      <c r="OPT46" s="80"/>
      <c r="OPU46" s="80"/>
      <c r="OPV46" s="80"/>
      <c r="OPW46" s="80"/>
      <c r="OPX46" s="80"/>
      <c r="OPY46" s="80"/>
      <c r="OPZ46" s="80"/>
      <c r="OQA46" s="80"/>
      <c r="OQB46" s="80"/>
      <c r="OQC46" s="80"/>
      <c r="OQD46" s="80"/>
      <c r="OQE46" s="80"/>
      <c r="OQF46" s="80"/>
      <c r="OQG46" s="80"/>
      <c r="OQH46" s="80"/>
      <c r="OQI46" s="80"/>
      <c r="OQJ46" s="80"/>
      <c r="OQK46" s="80"/>
      <c r="OQL46" s="80"/>
      <c r="OQM46" s="80"/>
      <c r="OQN46" s="80"/>
      <c r="OQO46" s="80"/>
      <c r="OQP46" s="80"/>
      <c r="OQQ46" s="80"/>
      <c r="OQR46" s="80"/>
      <c r="OQS46" s="80"/>
      <c r="OQT46" s="80"/>
      <c r="OQU46" s="80"/>
      <c r="OQV46" s="80"/>
      <c r="OQW46" s="80"/>
      <c r="OQX46" s="80"/>
      <c r="OQY46" s="80"/>
      <c r="OQZ46" s="80"/>
      <c r="ORA46" s="80"/>
      <c r="ORB46" s="80"/>
      <c r="ORC46" s="80"/>
      <c r="ORD46" s="80"/>
      <c r="ORE46" s="80"/>
      <c r="ORF46" s="80"/>
      <c r="ORG46" s="80"/>
      <c r="ORH46" s="80"/>
      <c r="ORI46" s="80"/>
      <c r="ORJ46" s="80"/>
      <c r="ORK46" s="80"/>
      <c r="ORL46" s="80"/>
      <c r="ORM46" s="80"/>
      <c r="ORN46" s="80"/>
      <c r="ORO46" s="80"/>
      <c r="ORP46" s="80"/>
      <c r="ORQ46" s="80"/>
      <c r="ORR46" s="80"/>
      <c r="ORS46" s="80"/>
      <c r="ORT46" s="80"/>
      <c r="ORU46" s="80"/>
      <c r="ORV46" s="80"/>
      <c r="ORW46" s="80"/>
      <c r="ORX46" s="80"/>
      <c r="ORY46" s="80"/>
      <c r="ORZ46" s="80"/>
      <c r="OSA46" s="80"/>
      <c r="OSB46" s="80"/>
      <c r="OSC46" s="80"/>
      <c r="OSD46" s="80"/>
      <c r="OSE46" s="80"/>
      <c r="OSF46" s="80"/>
      <c r="OSG46" s="80"/>
      <c r="OSH46" s="80"/>
      <c r="OSI46" s="80"/>
      <c r="OSJ46" s="80"/>
      <c r="OSK46" s="80"/>
      <c r="OSL46" s="80"/>
      <c r="OSM46" s="80"/>
      <c r="OSN46" s="80"/>
      <c r="OSO46" s="80"/>
      <c r="OSP46" s="80"/>
      <c r="OSQ46" s="80"/>
      <c r="OSR46" s="80"/>
      <c r="OSS46" s="80"/>
      <c r="OST46" s="80"/>
      <c r="OSU46" s="80"/>
      <c r="OSV46" s="80"/>
      <c r="OSW46" s="80"/>
      <c r="OSX46" s="80"/>
      <c r="OSY46" s="80"/>
      <c r="OSZ46" s="80"/>
      <c r="OTA46" s="80"/>
      <c r="OTB46" s="80"/>
      <c r="OTC46" s="80"/>
      <c r="OTD46" s="80"/>
      <c r="OTE46" s="80"/>
      <c r="OTF46" s="80"/>
      <c r="OTG46" s="80"/>
      <c r="OTH46" s="80"/>
      <c r="OTI46" s="80"/>
      <c r="OTJ46" s="80"/>
      <c r="OTK46" s="80"/>
      <c r="OTL46" s="80"/>
      <c r="OTM46" s="80"/>
      <c r="OTN46" s="80"/>
      <c r="OTO46" s="80"/>
      <c r="OTP46" s="80"/>
      <c r="OTQ46" s="80"/>
      <c r="OTR46" s="80"/>
      <c r="OTS46" s="80"/>
      <c r="OTT46" s="80"/>
      <c r="OTU46" s="80"/>
      <c r="OTV46" s="80"/>
      <c r="OTW46" s="80"/>
      <c r="OTX46" s="80"/>
      <c r="OTY46" s="80"/>
      <c r="OTZ46" s="80"/>
      <c r="OUA46" s="80"/>
      <c r="OUB46" s="80"/>
      <c r="OUC46" s="80"/>
      <c r="OUD46" s="80"/>
      <c r="OUE46" s="80"/>
      <c r="OUF46" s="80"/>
      <c r="OUG46" s="80"/>
      <c r="OUH46" s="80"/>
      <c r="OUI46" s="80"/>
      <c r="OUJ46" s="80"/>
      <c r="OUK46" s="80"/>
      <c r="OUL46" s="80"/>
      <c r="OUM46" s="80"/>
      <c r="OUN46" s="80"/>
      <c r="OUO46" s="80"/>
      <c r="OUP46" s="80"/>
      <c r="OUQ46" s="80"/>
      <c r="OUR46" s="80"/>
      <c r="OUS46" s="80"/>
      <c r="OUT46" s="80"/>
      <c r="OUU46" s="80"/>
      <c r="OUV46" s="80"/>
      <c r="OUW46" s="80"/>
      <c r="OUX46" s="80"/>
      <c r="OUY46" s="80"/>
      <c r="OUZ46" s="80"/>
      <c r="OVA46" s="80"/>
      <c r="OVB46" s="80"/>
      <c r="OVC46" s="80"/>
      <c r="OVD46" s="80"/>
      <c r="OVE46" s="80"/>
      <c r="OVF46" s="80"/>
      <c r="OVG46" s="80"/>
      <c r="OVH46" s="80"/>
      <c r="OVI46" s="80"/>
      <c r="OVJ46" s="80"/>
      <c r="OVK46" s="80"/>
      <c r="OVL46" s="80"/>
      <c r="OVM46" s="80"/>
      <c r="OVN46" s="80"/>
      <c r="OVO46" s="80"/>
      <c r="OVP46" s="80"/>
      <c r="OVQ46" s="80"/>
      <c r="OVR46" s="80"/>
      <c r="OVS46" s="80"/>
      <c r="OVT46" s="80"/>
      <c r="OVU46" s="80"/>
      <c r="OVV46" s="80"/>
      <c r="OVW46" s="80"/>
      <c r="OVX46" s="80"/>
      <c r="OVY46" s="80"/>
      <c r="OVZ46" s="80"/>
      <c r="OWA46" s="80"/>
      <c r="OWB46" s="80"/>
      <c r="OWC46" s="80"/>
      <c r="OWD46" s="80"/>
      <c r="OWE46" s="80"/>
      <c r="OWF46" s="80"/>
      <c r="OWG46" s="80"/>
      <c r="OWH46" s="80"/>
      <c r="OWI46" s="80"/>
      <c r="OWJ46" s="80"/>
      <c r="OWK46" s="80"/>
      <c r="OWL46" s="80"/>
      <c r="OWM46" s="80"/>
      <c r="OWN46" s="80"/>
      <c r="OWO46" s="80"/>
      <c r="OWP46" s="80"/>
      <c r="OWQ46" s="80"/>
      <c r="OWR46" s="80"/>
      <c r="OWS46" s="80"/>
      <c r="OWT46" s="80"/>
      <c r="OWU46" s="80"/>
      <c r="OWV46" s="80"/>
      <c r="OWW46" s="80"/>
      <c r="OWX46" s="80"/>
      <c r="OWY46" s="80"/>
      <c r="OWZ46" s="80"/>
      <c r="OXA46" s="80"/>
      <c r="OXB46" s="80"/>
      <c r="OXC46" s="80"/>
      <c r="OXD46" s="80"/>
      <c r="OXE46" s="80"/>
      <c r="OXF46" s="80"/>
      <c r="OXG46" s="80"/>
      <c r="OXH46" s="80"/>
      <c r="OXI46" s="80"/>
      <c r="OXJ46" s="80"/>
      <c r="OXK46" s="80"/>
      <c r="OXL46" s="80"/>
      <c r="OXM46" s="80"/>
      <c r="OXN46" s="80"/>
      <c r="OXO46" s="80"/>
      <c r="OXP46" s="80"/>
      <c r="OXQ46" s="80"/>
      <c r="OXR46" s="80"/>
      <c r="OXS46" s="80"/>
      <c r="OXT46" s="80"/>
      <c r="OXU46" s="80"/>
      <c r="OXV46" s="80"/>
      <c r="OXW46" s="80"/>
      <c r="OXX46" s="80"/>
      <c r="OXY46" s="80"/>
      <c r="OXZ46" s="80"/>
      <c r="OYA46" s="80"/>
      <c r="OYB46" s="80"/>
      <c r="OYC46" s="80"/>
      <c r="OYD46" s="80"/>
      <c r="OYE46" s="80"/>
      <c r="OYF46" s="80"/>
      <c r="OYG46" s="80"/>
      <c r="OYH46" s="80"/>
      <c r="OYI46" s="80"/>
      <c r="OYJ46" s="80"/>
      <c r="OYK46" s="80"/>
      <c r="OYL46" s="80"/>
      <c r="OYM46" s="80"/>
      <c r="OYN46" s="80"/>
      <c r="OYO46" s="80"/>
      <c r="OYP46" s="80"/>
      <c r="OYQ46" s="80"/>
      <c r="OYR46" s="80"/>
      <c r="OYS46" s="80"/>
      <c r="OYT46" s="80"/>
      <c r="OYU46" s="80"/>
      <c r="OYV46" s="80"/>
      <c r="OYW46" s="80"/>
      <c r="OYX46" s="80"/>
      <c r="OYY46" s="80"/>
      <c r="OYZ46" s="80"/>
      <c r="OZA46" s="80"/>
      <c r="OZB46" s="80"/>
      <c r="OZC46" s="80"/>
      <c r="OZD46" s="80"/>
      <c r="OZE46" s="80"/>
      <c r="OZF46" s="80"/>
      <c r="OZG46" s="80"/>
      <c r="OZH46" s="80"/>
      <c r="OZI46" s="80"/>
      <c r="OZJ46" s="80"/>
      <c r="OZK46" s="80"/>
      <c r="OZL46" s="80"/>
      <c r="OZM46" s="80"/>
      <c r="OZN46" s="80"/>
      <c r="OZO46" s="80"/>
      <c r="OZP46" s="80"/>
      <c r="OZQ46" s="80"/>
      <c r="OZR46" s="80"/>
      <c r="OZS46" s="80"/>
      <c r="OZT46" s="80"/>
      <c r="OZU46" s="80"/>
      <c r="OZV46" s="80"/>
      <c r="OZW46" s="80"/>
      <c r="OZX46" s="80"/>
      <c r="OZY46" s="80"/>
      <c r="OZZ46" s="80"/>
      <c r="PAA46" s="80"/>
      <c r="PAB46" s="80"/>
      <c r="PAC46" s="80"/>
      <c r="PAD46" s="80"/>
      <c r="PAE46" s="80"/>
      <c r="PAF46" s="80"/>
      <c r="PAG46" s="80"/>
      <c r="PAH46" s="80"/>
      <c r="PAI46" s="80"/>
      <c r="PAJ46" s="80"/>
      <c r="PAK46" s="80"/>
      <c r="PAL46" s="80"/>
      <c r="PAM46" s="80"/>
      <c r="PAN46" s="80"/>
      <c r="PAO46" s="80"/>
      <c r="PAP46" s="80"/>
      <c r="PAQ46" s="80"/>
      <c r="PAR46" s="80"/>
      <c r="PAS46" s="80"/>
      <c r="PAT46" s="80"/>
      <c r="PAU46" s="80"/>
      <c r="PAV46" s="80"/>
      <c r="PAW46" s="80"/>
      <c r="PAX46" s="80"/>
      <c r="PAY46" s="80"/>
      <c r="PAZ46" s="80"/>
      <c r="PBA46" s="80"/>
      <c r="PBB46" s="80"/>
      <c r="PBC46" s="80"/>
      <c r="PBD46" s="80"/>
      <c r="PBE46" s="80"/>
      <c r="PBF46" s="80"/>
      <c r="PBG46" s="80"/>
      <c r="PBH46" s="80"/>
      <c r="PBI46" s="80"/>
      <c r="PBJ46" s="80"/>
      <c r="PBK46" s="80"/>
      <c r="PBL46" s="80"/>
      <c r="PBM46" s="80"/>
      <c r="PBN46" s="80"/>
      <c r="PBO46" s="80"/>
      <c r="PBP46" s="80"/>
      <c r="PBQ46" s="80"/>
      <c r="PBR46" s="80"/>
      <c r="PBS46" s="80"/>
      <c r="PBT46" s="80"/>
      <c r="PBU46" s="80"/>
      <c r="PBV46" s="80"/>
      <c r="PBW46" s="80"/>
      <c r="PBX46" s="80"/>
      <c r="PBY46" s="80"/>
      <c r="PBZ46" s="80"/>
      <c r="PCA46" s="80"/>
      <c r="PCB46" s="80"/>
      <c r="PCC46" s="80"/>
      <c r="PCD46" s="80"/>
      <c r="PCE46" s="80"/>
      <c r="PCF46" s="80"/>
      <c r="PCG46" s="80"/>
      <c r="PCH46" s="80"/>
      <c r="PCI46" s="80"/>
      <c r="PCJ46" s="80"/>
      <c r="PCK46" s="80"/>
      <c r="PCL46" s="80"/>
      <c r="PCM46" s="80"/>
      <c r="PCN46" s="80"/>
      <c r="PCO46" s="80"/>
      <c r="PCP46" s="80"/>
      <c r="PCQ46" s="80"/>
      <c r="PCR46" s="80"/>
      <c r="PCS46" s="80"/>
      <c r="PCT46" s="80"/>
      <c r="PCU46" s="80"/>
      <c r="PCV46" s="80"/>
      <c r="PCW46" s="80"/>
      <c r="PCX46" s="80"/>
      <c r="PCY46" s="80"/>
      <c r="PCZ46" s="80"/>
      <c r="PDA46" s="80"/>
      <c r="PDB46" s="80"/>
      <c r="PDC46" s="80"/>
      <c r="PDD46" s="80"/>
      <c r="PDE46" s="80"/>
      <c r="PDF46" s="80"/>
      <c r="PDG46" s="80"/>
      <c r="PDH46" s="80"/>
      <c r="PDI46" s="80"/>
      <c r="PDJ46" s="80"/>
      <c r="PDK46" s="80"/>
      <c r="PDL46" s="80"/>
      <c r="PDM46" s="80"/>
      <c r="PDN46" s="80"/>
      <c r="PDO46" s="80"/>
      <c r="PDP46" s="80"/>
      <c r="PDQ46" s="80"/>
      <c r="PDR46" s="80"/>
      <c r="PDS46" s="80"/>
      <c r="PDT46" s="80"/>
      <c r="PDU46" s="80"/>
      <c r="PDV46" s="80"/>
      <c r="PDW46" s="80"/>
      <c r="PDX46" s="80"/>
      <c r="PDY46" s="80"/>
      <c r="PDZ46" s="80"/>
      <c r="PEA46" s="80"/>
      <c r="PEB46" s="80"/>
      <c r="PEC46" s="80"/>
      <c r="PED46" s="80"/>
      <c r="PEE46" s="80"/>
      <c r="PEF46" s="80"/>
      <c r="PEG46" s="80"/>
      <c r="PEH46" s="80"/>
      <c r="PEI46" s="80"/>
      <c r="PEJ46" s="80"/>
      <c r="PEK46" s="80"/>
      <c r="PEL46" s="80"/>
      <c r="PEM46" s="80"/>
      <c r="PEN46" s="80"/>
      <c r="PEO46" s="80"/>
      <c r="PEP46" s="80"/>
      <c r="PEQ46" s="80"/>
      <c r="PER46" s="80"/>
      <c r="PES46" s="80"/>
      <c r="PET46" s="80"/>
      <c r="PEU46" s="80"/>
      <c r="PEV46" s="80"/>
      <c r="PEW46" s="80"/>
      <c r="PEX46" s="80"/>
      <c r="PEY46" s="80"/>
      <c r="PEZ46" s="80"/>
      <c r="PFA46" s="80"/>
      <c r="PFB46" s="80"/>
      <c r="PFC46" s="80"/>
      <c r="PFD46" s="80"/>
      <c r="PFE46" s="80"/>
      <c r="PFF46" s="80"/>
      <c r="PFG46" s="80"/>
      <c r="PFH46" s="80"/>
      <c r="PFI46" s="80"/>
      <c r="PFJ46" s="80"/>
      <c r="PFK46" s="80"/>
      <c r="PFL46" s="80"/>
      <c r="PFM46" s="80"/>
      <c r="PFN46" s="80"/>
      <c r="PFO46" s="80"/>
      <c r="PFP46" s="80"/>
      <c r="PFQ46" s="80"/>
      <c r="PFR46" s="80"/>
      <c r="PFS46" s="80"/>
      <c r="PFT46" s="80"/>
      <c r="PFU46" s="80"/>
      <c r="PFV46" s="80"/>
      <c r="PFW46" s="80"/>
      <c r="PFX46" s="80"/>
      <c r="PFY46" s="80"/>
      <c r="PFZ46" s="80"/>
      <c r="PGA46" s="80"/>
      <c r="PGB46" s="80"/>
      <c r="PGC46" s="80"/>
      <c r="PGD46" s="80"/>
      <c r="PGE46" s="80"/>
      <c r="PGF46" s="80"/>
      <c r="PGG46" s="80"/>
      <c r="PGH46" s="80"/>
      <c r="PGI46" s="80"/>
      <c r="PGJ46" s="80"/>
      <c r="PGK46" s="80"/>
      <c r="PGL46" s="80"/>
      <c r="PGM46" s="80"/>
      <c r="PGN46" s="80"/>
      <c r="PGO46" s="80"/>
      <c r="PGP46" s="80"/>
      <c r="PGQ46" s="80"/>
      <c r="PGR46" s="80"/>
      <c r="PGS46" s="80"/>
      <c r="PGT46" s="80"/>
      <c r="PGU46" s="80"/>
      <c r="PGV46" s="80"/>
      <c r="PGW46" s="80"/>
      <c r="PGX46" s="80"/>
      <c r="PGY46" s="80"/>
      <c r="PGZ46" s="80"/>
      <c r="PHA46" s="80"/>
      <c r="PHB46" s="80"/>
      <c r="PHC46" s="80"/>
      <c r="PHD46" s="80"/>
      <c r="PHE46" s="80"/>
      <c r="PHF46" s="80"/>
      <c r="PHG46" s="80"/>
      <c r="PHH46" s="80"/>
      <c r="PHI46" s="80"/>
      <c r="PHJ46" s="80"/>
      <c r="PHK46" s="80"/>
      <c r="PHL46" s="80"/>
      <c r="PHM46" s="80"/>
      <c r="PHN46" s="80"/>
      <c r="PHO46" s="80"/>
      <c r="PHP46" s="80"/>
      <c r="PHQ46" s="80"/>
      <c r="PHR46" s="80"/>
      <c r="PHS46" s="80"/>
      <c r="PHT46" s="80"/>
      <c r="PHU46" s="80"/>
      <c r="PHV46" s="80"/>
      <c r="PHW46" s="80"/>
      <c r="PHX46" s="80"/>
      <c r="PHY46" s="80"/>
      <c r="PHZ46" s="80"/>
      <c r="PIA46" s="80"/>
      <c r="PIB46" s="80"/>
      <c r="PIC46" s="80"/>
      <c r="PID46" s="80"/>
      <c r="PIE46" s="80"/>
      <c r="PIF46" s="80"/>
      <c r="PIG46" s="80"/>
      <c r="PIH46" s="80"/>
      <c r="PII46" s="80"/>
      <c r="PIJ46" s="80"/>
      <c r="PIK46" s="80"/>
      <c r="PIL46" s="80"/>
      <c r="PIM46" s="80"/>
      <c r="PIN46" s="80"/>
      <c r="PIO46" s="80"/>
      <c r="PIP46" s="80"/>
      <c r="PIQ46" s="80"/>
      <c r="PIR46" s="80"/>
      <c r="PIS46" s="80"/>
      <c r="PIT46" s="80"/>
      <c r="PIU46" s="80"/>
      <c r="PIV46" s="80"/>
      <c r="PIW46" s="80"/>
      <c r="PIX46" s="80"/>
      <c r="PIY46" s="80"/>
      <c r="PIZ46" s="80"/>
      <c r="PJA46" s="80"/>
      <c r="PJB46" s="80"/>
      <c r="PJC46" s="80"/>
      <c r="PJD46" s="80"/>
      <c r="PJE46" s="80"/>
      <c r="PJF46" s="80"/>
      <c r="PJG46" s="80"/>
      <c r="PJH46" s="80"/>
      <c r="PJI46" s="80"/>
      <c r="PJJ46" s="80"/>
      <c r="PJK46" s="80"/>
      <c r="PJL46" s="80"/>
      <c r="PJM46" s="80"/>
      <c r="PJN46" s="80"/>
      <c r="PJO46" s="80"/>
      <c r="PJP46" s="80"/>
      <c r="PJQ46" s="80"/>
      <c r="PJR46" s="80"/>
      <c r="PJS46" s="80"/>
      <c r="PJT46" s="80"/>
      <c r="PJU46" s="80"/>
      <c r="PJV46" s="80"/>
      <c r="PJW46" s="80"/>
      <c r="PJX46" s="80"/>
      <c r="PJY46" s="80"/>
      <c r="PJZ46" s="80"/>
      <c r="PKA46" s="80"/>
      <c r="PKB46" s="80"/>
      <c r="PKC46" s="80"/>
      <c r="PKD46" s="80"/>
      <c r="PKE46" s="80"/>
      <c r="PKF46" s="80"/>
      <c r="PKG46" s="80"/>
      <c r="PKH46" s="80"/>
      <c r="PKI46" s="80"/>
      <c r="PKJ46" s="80"/>
      <c r="PKK46" s="80"/>
      <c r="PKL46" s="80"/>
      <c r="PKM46" s="80"/>
      <c r="PKN46" s="80"/>
      <c r="PKO46" s="80"/>
      <c r="PKP46" s="80"/>
      <c r="PKQ46" s="80"/>
      <c r="PKR46" s="80"/>
      <c r="PKS46" s="80"/>
      <c r="PKT46" s="80"/>
      <c r="PKU46" s="80"/>
      <c r="PKV46" s="80"/>
      <c r="PKW46" s="80"/>
      <c r="PKX46" s="80"/>
      <c r="PKY46" s="80"/>
      <c r="PKZ46" s="80"/>
      <c r="PLA46" s="80"/>
      <c r="PLB46" s="80"/>
      <c r="PLC46" s="80"/>
      <c r="PLD46" s="80"/>
      <c r="PLE46" s="80"/>
      <c r="PLF46" s="80"/>
      <c r="PLG46" s="80"/>
      <c r="PLH46" s="80"/>
      <c r="PLI46" s="80"/>
      <c r="PLJ46" s="80"/>
      <c r="PLK46" s="80"/>
      <c r="PLL46" s="80"/>
      <c r="PLM46" s="80"/>
      <c r="PLN46" s="80"/>
      <c r="PLO46" s="80"/>
      <c r="PLP46" s="80"/>
      <c r="PLQ46" s="80"/>
      <c r="PLR46" s="80"/>
      <c r="PLS46" s="80"/>
      <c r="PLT46" s="80"/>
      <c r="PLU46" s="80"/>
      <c r="PLV46" s="80"/>
      <c r="PLW46" s="80"/>
      <c r="PLX46" s="80"/>
      <c r="PLY46" s="80"/>
      <c r="PLZ46" s="80"/>
      <c r="PMA46" s="80"/>
      <c r="PMB46" s="80"/>
      <c r="PMC46" s="80"/>
      <c r="PMD46" s="80"/>
      <c r="PME46" s="80"/>
      <c r="PMF46" s="80"/>
      <c r="PMG46" s="80"/>
      <c r="PMH46" s="80"/>
      <c r="PMI46" s="80"/>
      <c r="PMJ46" s="80"/>
      <c r="PMK46" s="80"/>
      <c r="PML46" s="80"/>
      <c r="PMM46" s="80"/>
      <c r="PMN46" s="80"/>
      <c r="PMO46" s="80"/>
      <c r="PMP46" s="80"/>
      <c r="PMQ46" s="80"/>
      <c r="PMR46" s="80"/>
      <c r="PMS46" s="80"/>
      <c r="PMT46" s="80"/>
      <c r="PMU46" s="80"/>
      <c r="PMV46" s="80"/>
      <c r="PMW46" s="80"/>
      <c r="PMX46" s="80"/>
      <c r="PMY46" s="80"/>
      <c r="PMZ46" s="80"/>
      <c r="PNA46" s="80"/>
      <c r="PNB46" s="80"/>
      <c r="PNC46" s="80"/>
      <c r="PND46" s="80"/>
      <c r="PNE46" s="80"/>
      <c r="PNF46" s="80"/>
      <c r="PNG46" s="80"/>
      <c r="PNH46" s="80"/>
      <c r="PNI46" s="80"/>
      <c r="PNJ46" s="80"/>
      <c r="PNK46" s="80"/>
      <c r="PNL46" s="80"/>
      <c r="PNM46" s="80"/>
      <c r="PNN46" s="80"/>
      <c r="PNO46" s="80"/>
      <c r="PNP46" s="80"/>
      <c r="PNQ46" s="80"/>
      <c r="PNR46" s="80"/>
      <c r="PNS46" s="80"/>
      <c r="PNT46" s="80"/>
      <c r="PNU46" s="80"/>
      <c r="PNV46" s="80"/>
      <c r="PNW46" s="80"/>
      <c r="PNX46" s="80"/>
      <c r="PNY46" s="80"/>
      <c r="PNZ46" s="80"/>
      <c r="POA46" s="80"/>
      <c r="POB46" s="80"/>
      <c r="POC46" s="80"/>
      <c r="POD46" s="80"/>
      <c r="POE46" s="80"/>
      <c r="POF46" s="80"/>
      <c r="POG46" s="80"/>
      <c r="POH46" s="80"/>
      <c r="POI46" s="80"/>
      <c r="POJ46" s="80"/>
      <c r="POK46" s="80"/>
      <c r="POL46" s="80"/>
      <c r="POM46" s="80"/>
      <c r="PON46" s="80"/>
      <c r="POO46" s="80"/>
      <c r="POP46" s="80"/>
      <c r="POQ46" s="80"/>
      <c r="POR46" s="80"/>
      <c r="POS46" s="80"/>
      <c r="POT46" s="80"/>
      <c r="POU46" s="80"/>
      <c r="POV46" s="80"/>
      <c r="POW46" s="80"/>
      <c r="POX46" s="80"/>
      <c r="POY46" s="80"/>
      <c r="POZ46" s="80"/>
      <c r="PPA46" s="80"/>
      <c r="PPB46" s="80"/>
      <c r="PPC46" s="80"/>
      <c r="PPD46" s="80"/>
      <c r="PPE46" s="80"/>
      <c r="PPF46" s="80"/>
      <c r="PPG46" s="80"/>
      <c r="PPH46" s="80"/>
      <c r="PPI46" s="80"/>
      <c r="PPJ46" s="80"/>
      <c r="PPK46" s="80"/>
      <c r="PPL46" s="80"/>
      <c r="PPM46" s="80"/>
      <c r="PPN46" s="80"/>
      <c r="PPO46" s="80"/>
      <c r="PPP46" s="80"/>
      <c r="PPQ46" s="80"/>
      <c r="PPR46" s="80"/>
      <c r="PPS46" s="80"/>
      <c r="PPT46" s="80"/>
      <c r="PPU46" s="80"/>
      <c r="PPV46" s="80"/>
      <c r="PPW46" s="80"/>
      <c r="PPX46" s="80"/>
      <c r="PPY46" s="80"/>
      <c r="PPZ46" s="80"/>
      <c r="PQA46" s="80"/>
      <c r="PQB46" s="80"/>
      <c r="PQC46" s="80"/>
      <c r="PQD46" s="80"/>
      <c r="PQE46" s="80"/>
      <c r="PQF46" s="80"/>
      <c r="PQG46" s="80"/>
      <c r="PQH46" s="80"/>
      <c r="PQI46" s="80"/>
      <c r="PQJ46" s="80"/>
      <c r="PQK46" s="80"/>
      <c r="PQL46" s="80"/>
      <c r="PQM46" s="80"/>
      <c r="PQN46" s="80"/>
      <c r="PQO46" s="80"/>
      <c r="PQP46" s="80"/>
      <c r="PQQ46" s="80"/>
      <c r="PQR46" s="80"/>
      <c r="PQS46" s="80"/>
      <c r="PQT46" s="80"/>
      <c r="PQU46" s="80"/>
      <c r="PQV46" s="80"/>
      <c r="PQW46" s="80"/>
      <c r="PQX46" s="80"/>
      <c r="PQY46" s="80"/>
      <c r="PQZ46" s="80"/>
      <c r="PRA46" s="80"/>
      <c r="PRB46" s="80"/>
      <c r="PRC46" s="80"/>
      <c r="PRD46" s="80"/>
      <c r="PRE46" s="80"/>
      <c r="PRF46" s="80"/>
      <c r="PRG46" s="80"/>
      <c r="PRH46" s="80"/>
      <c r="PRI46" s="80"/>
      <c r="PRJ46" s="80"/>
      <c r="PRK46" s="80"/>
      <c r="PRL46" s="80"/>
      <c r="PRM46" s="80"/>
      <c r="PRN46" s="80"/>
      <c r="PRO46" s="80"/>
      <c r="PRP46" s="80"/>
      <c r="PRQ46" s="80"/>
      <c r="PRR46" s="80"/>
      <c r="PRS46" s="80"/>
      <c r="PRT46" s="80"/>
      <c r="PRU46" s="80"/>
      <c r="PRV46" s="80"/>
      <c r="PRW46" s="80"/>
      <c r="PRX46" s="80"/>
      <c r="PRY46" s="80"/>
      <c r="PRZ46" s="80"/>
      <c r="PSA46" s="80"/>
      <c r="PSB46" s="80"/>
      <c r="PSC46" s="80"/>
      <c r="PSD46" s="80"/>
      <c r="PSE46" s="80"/>
      <c r="PSF46" s="80"/>
      <c r="PSG46" s="80"/>
      <c r="PSH46" s="80"/>
      <c r="PSI46" s="80"/>
      <c r="PSJ46" s="80"/>
      <c r="PSK46" s="80"/>
      <c r="PSL46" s="80"/>
      <c r="PSM46" s="80"/>
      <c r="PSN46" s="80"/>
      <c r="PSO46" s="80"/>
      <c r="PSP46" s="80"/>
      <c r="PSQ46" s="80"/>
      <c r="PSR46" s="80"/>
      <c r="PSS46" s="80"/>
      <c r="PST46" s="80"/>
      <c r="PSU46" s="80"/>
      <c r="PSV46" s="80"/>
      <c r="PSW46" s="80"/>
      <c r="PSX46" s="80"/>
      <c r="PSY46" s="80"/>
      <c r="PSZ46" s="80"/>
      <c r="PTA46" s="80"/>
      <c r="PTB46" s="80"/>
      <c r="PTC46" s="80"/>
      <c r="PTD46" s="80"/>
      <c r="PTE46" s="80"/>
      <c r="PTF46" s="80"/>
      <c r="PTG46" s="80"/>
      <c r="PTH46" s="80"/>
      <c r="PTI46" s="80"/>
      <c r="PTJ46" s="80"/>
      <c r="PTK46" s="80"/>
      <c r="PTL46" s="80"/>
      <c r="PTM46" s="80"/>
      <c r="PTN46" s="80"/>
      <c r="PTO46" s="80"/>
      <c r="PTP46" s="80"/>
      <c r="PTQ46" s="80"/>
      <c r="PTR46" s="80"/>
      <c r="PTS46" s="80"/>
      <c r="PTT46" s="80"/>
      <c r="PTU46" s="80"/>
      <c r="PTV46" s="80"/>
      <c r="PTW46" s="80"/>
      <c r="PTX46" s="80"/>
      <c r="PTY46" s="80"/>
      <c r="PTZ46" s="80"/>
      <c r="PUA46" s="80"/>
      <c r="PUB46" s="80"/>
      <c r="PUC46" s="80"/>
      <c r="PUD46" s="80"/>
      <c r="PUE46" s="80"/>
      <c r="PUF46" s="80"/>
      <c r="PUG46" s="80"/>
      <c r="PUH46" s="80"/>
      <c r="PUI46" s="80"/>
      <c r="PUJ46" s="80"/>
      <c r="PUK46" s="80"/>
      <c r="PUL46" s="80"/>
      <c r="PUM46" s="80"/>
      <c r="PUN46" s="80"/>
      <c r="PUO46" s="80"/>
      <c r="PUP46" s="80"/>
      <c r="PUQ46" s="80"/>
      <c r="PUR46" s="80"/>
      <c r="PUS46" s="80"/>
      <c r="PUT46" s="80"/>
      <c r="PUU46" s="80"/>
      <c r="PUV46" s="80"/>
      <c r="PUW46" s="80"/>
      <c r="PUX46" s="80"/>
      <c r="PUY46" s="80"/>
      <c r="PUZ46" s="80"/>
      <c r="PVA46" s="80"/>
      <c r="PVB46" s="80"/>
      <c r="PVC46" s="80"/>
      <c r="PVD46" s="80"/>
      <c r="PVE46" s="80"/>
      <c r="PVF46" s="80"/>
      <c r="PVG46" s="80"/>
      <c r="PVH46" s="80"/>
      <c r="PVI46" s="80"/>
      <c r="PVJ46" s="80"/>
      <c r="PVK46" s="80"/>
      <c r="PVL46" s="80"/>
      <c r="PVM46" s="80"/>
      <c r="PVN46" s="80"/>
      <c r="PVO46" s="80"/>
      <c r="PVP46" s="80"/>
      <c r="PVQ46" s="80"/>
      <c r="PVR46" s="80"/>
      <c r="PVS46" s="80"/>
      <c r="PVT46" s="80"/>
      <c r="PVU46" s="80"/>
      <c r="PVV46" s="80"/>
      <c r="PVW46" s="80"/>
      <c r="PVX46" s="80"/>
      <c r="PVY46" s="80"/>
      <c r="PVZ46" s="80"/>
      <c r="PWA46" s="80"/>
      <c r="PWB46" s="80"/>
      <c r="PWC46" s="80"/>
      <c r="PWD46" s="80"/>
      <c r="PWE46" s="80"/>
      <c r="PWF46" s="80"/>
      <c r="PWG46" s="80"/>
      <c r="PWH46" s="80"/>
      <c r="PWI46" s="80"/>
      <c r="PWJ46" s="80"/>
      <c r="PWK46" s="80"/>
      <c r="PWL46" s="80"/>
      <c r="PWM46" s="80"/>
      <c r="PWN46" s="80"/>
      <c r="PWO46" s="80"/>
      <c r="PWP46" s="80"/>
      <c r="PWQ46" s="80"/>
      <c r="PWR46" s="80"/>
      <c r="PWS46" s="80"/>
      <c r="PWT46" s="80"/>
      <c r="PWU46" s="80"/>
      <c r="PWV46" s="80"/>
      <c r="PWW46" s="80"/>
      <c r="PWX46" s="80"/>
      <c r="PWY46" s="80"/>
      <c r="PWZ46" s="80"/>
      <c r="PXA46" s="80"/>
      <c r="PXB46" s="80"/>
      <c r="PXC46" s="80"/>
      <c r="PXD46" s="80"/>
      <c r="PXE46" s="80"/>
      <c r="PXF46" s="80"/>
      <c r="PXG46" s="80"/>
      <c r="PXH46" s="80"/>
      <c r="PXI46" s="80"/>
      <c r="PXJ46" s="80"/>
      <c r="PXK46" s="80"/>
      <c r="PXL46" s="80"/>
      <c r="PXM46" s="80"/>
      <c r="PXN46" s="80"/>
      <c r="PXO46" s="80"/>
      <c r="PXP46" s="80"/>
      <c r="PXQ46" s="80"/>
      <c r="PXR46" s="80"/>
      <c r="PXS46" s="80"/>
      <c r="PXT46" s="80"/>
      <c r="PXU46" s="80"/>
      <c r="PXV46" s="80"/>
      <c r="PXW46" s="80"/>
      <c r="PXX46" s="80"/>
      <c r="PXY46" s="80"/>
      <c r="PXZ46" s="80"/>
      <c r="PYA46" s="80"/>
      <c r="PYB46" s="80"/>
      <c r="PYC46" s="80"/>
      <c r="PYD46" s="80"/>
      <c r="PYE46" s="80"/>
      <c r="PYF46" s="80"/>
      <c r="PYG46" s="80"/>
      <c r="PYH46" s="80"/>
      <c r="PYI46" s="80"/>
      <c r="PYJ46" s="80"/>
      <c r="PYK46" s="80"/>
      <c r="PYL46" s="80"/>
      <c r="PYM46" s="80"/>
      <c r="PYN46" s="80"/>
      <c r="PYO46" s="80"/>
      <c r="PYP46" s="80"/>
      <c r="PYQ46" s="80"/>
      <c r="PYR46" s="80"/>
      <c r="PYS46" s="80"/>
      <c r="PYT46" s="80"/>
      <c r="PYU46" s="80"/>
      <c r="PYV46" s="80"/>
      <c r="PYW46" s="80"/>
      <c r="PYX46" s="80"/>
      <c r="PYY46" s="80"/>
      <c r="PYZ46" s="80"/>
      <c r="PZA46" s="80"/>
      <c r="PZB46" s="80"/>
      <c r="PZC46" s="80"/>
      <c r="PZD46" s="80"/>
      <c r="PZE46" s="80"/>
      <c r="PZF46" s="80"/>
      <c r="PZG46" s="80"/>
      <c r="PZH46" s="80"/>
      <c r="PZI46" s="80"/>
      <c r="PZJ46" s="80"/>
      <c r="PZK46" s="80"/>
      <c r="PZL46" s="80"/>
      <c r="PZM46" s="80"/>
      <c r="PZN46" s="80"/>
      <c r="PZO46" s="80"/>
      <c r="PZP46" s="80"/>
      <c r="PZQ46" s="80"/>
      <c r="PZR46" s="80"/>
      <c r="PZS46" s="80"/>
      <c r="PZT46" s="80"/>
      <c r="PZU46" s="80"/>
      <c r="PZV46" s="80"/>
      <c r="PZW46" s="80"/>
      <c r="PZX46" s="80"/>
      <c r="PZY46" s="80"/>
      <c r="PZZ46" s="80"/>
      <c r="QAA46" s="80"/>
      <c r="QAB46" s="80"/>
      <c r="QAC46" s="80"/>
      <c r="QAD46" s="80"/>
      <c r="QAE46" s="80"/>
      <c r="QAF46" s="80"/>
      <c r="QAG46" s="80"/>
      <c r="QAH46" s="80"/>
      <c r="QAI46" s="80"/>
      <c r="QAJ46" s="80"/>
      <c r="QAK46" s="80"/>
      <c r="QAL46" s="80"/>
      <c r="QAM46" s="80"/>
      <c r="QAN46" s="80"/>
      <c r="QAO46" s="80"/>
      <c r="QAP46" s="80"/>
      <c r="QAQ46" s="80"/>
      <c r="QAR46" s="80"/>
      <c r="QAS46" s="80"/>
      <c r="QAT46" s="80"/>
      <c r="QAU46" s="80"/>
      <c r="QAV46" s="80"/>
      <c r="QAW46" s="80"/>
      <c r="QAX46" s="80"/>
      <c r="QAY46" s="80"/>
      <c r="QAZ46" s="80"/>
      <c r="QBA46" s="80"/>
      <c r="QBB46" s="80"/>
      <c r="QBC46" s="80"/>
      <c r="QBD46" s="80"/>
      <c r="QBE46" s="80"/>
      <c r="QBF46" s="80"/>
      <c r="QBG46" s="80"/>
      <c r="QBH46" s="80"/>
      <c r="QBI46" s="80"/>
      <c r="QBJ46" s="80"/>
      <c r="QBK46" s="80"/>
      <c r="QBL46" s="80"/>
      <c r="QBM46" s="80"/>
      <c r="QBN46" s="80"/>
      <c r="QBO46" s="80"/>
      <c r="QBP46" s="80"/>
      <c r="QBQ46" s="80"/>
      <c r="QBR46" s="80"/>
      <c r="QBS46" s="80"/>
      <c r="QBT46" s="80"/>
      <c r="QBU46" s="80"/>
      <c r="QBV46" s="80"/>
      <c r="QBW46" s="80"/>
      <c r="QBX46" s="80"/>
      <c r="QBY46" s="80"/>
      <c r="QBZ46" s="80"/>
      <c r="QCA46" s="80"/>
      <c r="QCB46" s="80"/>
      <c r="QCC46" s="80"/>
      <c r="QCD46" s="80"/>
      <c r="QCE46" s="80"/>
      <c r="QCF46" s="80"/>
      <c r="QCG46" s="80"/>
      <c r="QCH46" s="80"/>
      <c r="QCI46" s="80"/>
      <c r="QCJ46" s="80"/>
      <c r="QCK46" s="80"/>
      <c r="QCL46" s="80"/>
      <c r="QCM46" s="80"/>
      <c r="QCN46" s="80"/>
      <c r="QCO46" s="80"/>
      <c r="QCP46" s="80"/>
      <c r="QCQ46" s="80"/>
      <c r="QCR46" s="80"/>
      <c r="QCS46" s="80"/>
      <c r="QCT46" s="80"/>
      <c r="QCU46" s="80"/>
      <c r="QCV46" s="80"/>
      <c r="QCW46" s="80"/>
      <c r="QCX46" s="80"/>
      <c r="QCY46" s="80"/>
      <c r="QCZ46" s="80"/>
      <c r="QDA46" s="80"/>
      <c r="QDB46" s="80"/>
      <c r="QDC46" s="80"/>
      <c r="QDD46" s="80"/>
      <c r="QDE46" s="80"/>
      <c r="QDF46" s="80"/>
      <c r="QDG46" s="80"/>
      <c r="QDH46" s="80"/>
      <c r="QDI46" s="80"/>
      <c r="QDJ46" s="80"/>
      <c r="QDK46" s="80"/>
      <c r="QDL46" s="80"/>
      <c r="QDM46" s="80"/>
      <c r="QDN46" s="80"/>
      <c r="QDO46" s="80"/>
      <c r="QDP46" s="80"/>
      <c r="QDQ46" s="80"/>
      <c r="QDR46" s="80"/>
      <c r="QDS46" s="80"/>
      <c r="QDT46" s="80"/>
      <c r="QDU46" s="80"/>
      <c r="QDV46" s="80"/>
      <c r="QDW46" s="80"/>
      <c r="QDX46" s="80"/>
      <c r="QDY46" s="80"/>
      <c r="QDZ46" s="80"/>
      <c r="QEA46" s="80"/>
      <c r="QEB46" s="80"/>
      <c r="QEC46" s="80"/>
      <c r="QED46" s="80"/>
      <c r="QEE46" s="80"/>
      <c r="QEF46" s="80"/>
      <c r="QEG46" s="80"/>
      <c r="QEH46" s="80"/>
      <c r="QEI46" s="80"/>
      <c r="QEJ46" s="80"/>
      <c r="QEK46" s="80"/>
      <c r="QEL46" s="80"/>
      <c r="QEM46" s="80"/>
      <c r="QEN46" s="80"/>
      <c r="QEO46" s="80"/>
      <c r="QEP46" s="80"/>
      <c r="QEQ46" s="80"/>
      <c r="QER46" s="80"/>
      <c r="QES46" s="80"/>
      <c r="QET46" s="80"/>
      <c r="QEU46" s="80"/>
      <c r="QEV46" s="80"/>
      <c r="QEW46" s="80"/>
      <c r="QEX46" s="80"/>
      <c r="QEY46" s="80"/>
      <c r="QEZ46" s="80"/>
      <c r="QFA46" s="80"/>
      <c r="QFB46" s="80"/>
      <c r="QFC46" s="80"/>
      <c r="QFD46" s="80"/>
      <c r="QFE46" s="80"/>
      <c r="QFF46" s="80"/>
      <c r="QFG46" s="80"/>
      <c r="QFH46" s="80"/>
      <c r="QFI46" s="80"/>
      <c r="QFJ46" s="80"/>
      <c r="QFK46" s="80"/>
      <c r="QFL46" s="80"/>
      <c r="QFM46" s="80"/>
      <c r="QFN46" s="80"/>
      <c r="QFO46" s="80"/>
      <c r="QFP46" s="80"/>
      <c r="QFQ46" s="80"/>
      <c r="QFR46" s="80"/>
      <c r="QFS46" s="80"/>
      <c r="QFT46" s="80"/>
      <c r="QFU46" s="80"/>
      <c r="QFV46" s="80"/>
      <c r="QFW46" s="80"/>
      <c r="QFX46" s="80"/>
      <c r="QFY46" s="80"/>
      <c r="QFZ46" s="80"/>
      <c r="QGA46" s="80"/>
      <c r="QGB46" s="80"/>
      <c r="QGC46" s="80"/>
      <c r="QGD46" s="80"/>
      <c r="QGE46" s="80"/>
      <c r="QGF46" s="80"/>
      <c r="QGG46" s="80"/>
      <c r="QGH46" s="80"/>
      <c r="QGI46" s="80"/>
      <c r="QGJ46" s="80"/>
      <c r="QGK46" s="80"/>
      <c r="QGL46" s="80"/>
      <c r="QGM46" s="80"/>
      <c r="QGN46" s="80"/>
      <c r="QGO46" s="80"/>
      <c r="QGP46" s="80"/>
      <c r="QGQ46" s="80"/>
      <c r="QGR46" s="80"/>
      <c r="QGS46" s="80"/>
      <c r="QGT46" s="80"/>
      <c r="QGU46" s="80"/>
      <c r="QGV46" s="80"/>
      <c r="QGW46" s="80"/>
      <c r="QGX46" s="80"/>
      <c r="QGY46" s="80"/>
      <c r="QGZ46" s="80"/>
      <c r="QHA46" s="80"/>
      <c r="QHB46" s="80"/>
      <c r="QHC46" s="80"/>
      <c r="QHD46" s="80"/>
      <c r="QHE46" s="80"/>
      <c r="QHF46" s="80"/>
      <c r="QHG46" s="80"/>
      <c r="QHH46" s="80"/>
      <c r="QHI46" s="80"/>
      <c r="QHJ46" s="80"/>
      <c r="QHK46" s="80"/>
      <c r="QHL46" s="80"/>
      <c r="QHM46" s="80"/>
      <c r="QHN46" s="80"/>
      <c r="QHO46" s="80"/>
      <c r="QHP46" s="80"/>
      <c r="QHQ46" s="80"/>
      <c r="QHR46" s="80"/>
      <c r="QHS46" s="80"/>
      <c r="QHT46" s="80"/>
      <c r="QHU46" s="80"/>
      <c r="QHV46" s="80"/>
      <c r="QHW46" s="80"/>
      <c r="QHX46" s="80"/>
      <c r="QHY46" s="80"/>
      <c r="QHZ46" s="80"/>
      <c r="QIA46" s="80"/>
      <c r="QIB46" s="80"/>
      <c r="QIC46" s="80"/>
      <c r="QID46" s="80"/>
      <c r="QIE46" s="80"/>
      <c r="QIF46" s="80"/>
      <c r="QIG46" s="80"/>
      <c r="QIH46" s="80"/>
      <c r="QII46" s="80"/>
      <c r="QIJ46" s="80"/>
      <c r="QIK46" s="80"/>
      <c r="QIL46" s="80"/>
      <c r="QIM46" s="80"/>
      <c r="QIN46" s="80"/>
      <c r="QIO46" s="80"/>
      <c r="QIP46" s="80"/>
      <c r="QIQ46" s="80"/>
      <c r="QIR46" s="80"/>
      <c r="QIS46" s="80"/>
      <c r="QIT46" s="80"/>
      <c r="QIU46" s="80"/>
      <c r="QIV46" s="80"/>
      <c r="QIW46" s="80"/>
      <c r="QIX46" s="80"/>
      <c r="QIY46" s="80"/>
      <c r="QIZ46" s="80"/>
      <c r="QJA46" s="80"/>
      <c r="QJB46" s="80"/>
      <c r="QJC46" s="80"/>
      <c r="QJD46" s="80"/>
      <c r="QJE46" s="80"/>
      <c r="QJF46" s="80"/>
      <c r="QJG46" s="80"/>
      <c r="QJH46" s="80"/>
      <c r="QJI46" s="80"/>
      <c r="QJJ46" s="80"/>
      <c r="QJK46" s="80"/>
      <c r="QJL46" s="80"/>
      <c r="QJM46" s="80"/>
      <c r="QJN46" s="80"/>
      <c r="QJO46" s="80"/>
      <c r="QJP46" s="80"/>
      <c r="QJQ46" s="80"/>
      <c r="QJR46" s="80"/>
      <c r="QJS46" s="80"/>
      <c r="QJT46" s="80"/>
      <c r="QJU46" s="80"/>
      <c r="QJV46" s="80"/>
      <c r="QJW46" s="80"/>
      <c r="QJX46" s="80"/>
      <c r="QJY46" s="80"/>
      <c r="QJZ46" s="80"/>
      <c r="QKA46" s="80"/>
      <c r="QKB46" s="80"/>
      <c r="QKC46" s="80"/>
      <c r="QKD46" s="80"/>
      <c r="QKE46" s="80"/>
      <c r="QKF46" s="80"/>
      <c r="QKG46" s="80"/>
      <c r="QKH46" s="80"/>
      <c r="QKI46" s="80"/>
      <c r="QKJ46" s="80"/>
      <c r="QKK46" s="80"/>
      <c r="QKL46" s="80"/>
      <c r="QKM46" s="80"/>
      <c r="QKN46" s="80"/>
      <c r="QKO46" s="80"/>
      <c r="QKP46" s="80"/>
      <c r="QKQ46" s="80"/>
      <c r="QKR46" s="80"/>
      <c r="QKS46" s="80"/>
      <c r="QKT46" s="80"/>
      <c r="QKU46" s="80"/>
      <c r="QKV46" s="80"/>
      <c r="QKW46" s="80"/>
      <c r="QKX46" s="80"/>
      <c r="QKY46" s="80"/>
      <c r="QKZ46" s="80"/>
      <c r="QLA46" s="80"/>
      <c r="QLB46" s="80"/>
      <c r="QLC46" s="80"/>
      <c r="QLD46" s="80"/>
      <c r="QLE46" s="80"/>
      <c r="QLF46" s="80"/>
      <c r="QLG46" s="80"/>
      <c r="QLH46" s="80"/>
      <c r="QLI46" s="80"/>
      <c r="QLJ46" s="80"/>
      <c r="QLK46" s="80"/>
      <c r="QLL46" s="80"/>
      <c r="QLM46" s="80"/>
      <c r="QLN46" s="80"/>
      <c r="QLO46" s="80"/>
      <c r="QLP46" s="80"/>
      <c r="QLQ46" s="80"/>
      <c r="QLR46" s="80"/>
      <c r="QLS46" s="80"/>
      <c r="QLT46" s="80"/>
      <c r="QLU46" s="80"/>
      <c r="QLV46" s="80"/>
      <c r="QLW46" s="80"/>
      <c r="QLX46" s="80"/>
      <c r="QLY46" s="80"/>
      <c r="QLZ46" s="80"/>
      <c r="QMA46" s="80"/>
      <c r="QMB46" s="80"/>
      <c r="QMC46" s="80"/>
      <c r="QMD46" s="80"/>
      <c r="QME46" s="80"/>
      <c r="QMF46" s="80"/>
      <c r="QMG46" s="80"/>
      <c r="QMH46" s="80"/>
      <c r="QMI46" s="80"/>
      <c r="QMJ46" s="80"/>
      <c r="QMK46" s="80"/>
      <c r="QML46" s="80"/>
      <c r="QMM46" s="80"/>
      <c r="QMN46" s="80"/>
      <c r="QMO46" s="80"/>
      <c r="QMP46" s="80"/>
      <c r="QMQ46" s="80"/>
      <c r="QMR46" s="80"/>
      <c r="QMS46" s="80"/>
      <c r="QMT46" s="80"/>
      <c r="QMU46" s="80"/>
      <c r="QMV46" s="80"/>
      <c r="QMW46" s="80"/>
      <c r="QMX46" s="80"/>
      <c r="QMY46" s="80"/>
      <c r="QMZ46" s="80"/>
      <c r="QNA46" s="80"/>
      <c r="QNB46" s="80"/>
      <c r="QNC46" s="80"/>
      <c r="QND46" s="80"/>
      <c r="QNE46" s="80"/>
      <c r="QNF46" s="80"/>
      <c r="QNG46" s="80"/>
      <c r="QNH46" s="80"/>
      <c r="QNI46" s="80"/>
      <c r="QNJ46" s="80"/>
      <c r="QNK46" s="80"/>
      <c r="QNL46" s="80"/>
      <c r="QNM46" s="80"/>
      <c r="QNN46" s="80"/>
      <c r="QNO46" s="80"/>
      <c r="QNP46" s="80"/>
      <c r="QNQ46" s="80"/>
      <c r="QNR46" s="80"/>
      <c r="QNS46" s="80"/>
      <c r="QNT46" s="80"/>
      <c r="QNU46" s="80"/>
      <c r="QNV46" s="80"/>
      <c r="QNW46" s="80"/>
      <c r="QNX46" s="80"/>
      <c r="QNY46" s="80"/>
      <c r="QNZ46" s="80"/>
      <c r="QOA46" s="80"/>
      <c r="QOB46" s="80"/>
      <c r="QOC46" s="80"/>
      <c r="QOD46" s="80"/>
      <c r="QOE46" s="80"/>
      <c r="QOF46" s="80"/>
      <c r="QOG46" s="80"/>
      <c r="QOH46" s="80"/>
      <c r="QOI46" s="80"/>
      <c r="QOJ46" s="80"/>
      <c r="QOK46" s="80"/>
      <c r="QOL46" s="80"/>
      <c r="QOM46" s="80"/>
      <c r="QON46" s="80"/>
      <c r="QOO46" s="80"/>
      <c r="QOP46" s="80"/>
      <c r="QOQ46" s="80"/>
      <c r="QOR46" s="80"/>
      <c r="QOS46" s="80"/>
      <c r="QOT46" s="80"/>
      <c r="QOU46" s="80"/>
      <c r="QOV46" s="80"/>
      <c r="QOW46" s="80"/>
      <c r="QOX46" s="80"/>
      <c r="QOY46" s="80"/>
      <c r="QOZ46" s="80"/>
      <c r="QPA46" s="80"/>
      <c r="QPB46" s="80"/>
      <c r="QPC46" s="80"/>
      <c r="QPD46" s="80"/>
      <c r="QPE46" s="80"/>
      <c r="QPF46" s="80"/>
      <c r="QPG46" s="80"/>
      <c r="QPH46" s="80"/>
      <c r="QPI46" s="80"/>
      <c r="QPJ46" s="80"/>
      <c r="QPK46" s="80"/>
      <c r="QPL46" s="80"/>
      <c r="QPM46" s="80"/>
      <c r="QPN46" s="80"/>
      <c r="QPO46" s="80"/>
      <c r="QPP46" s="80"/>
      <c r="QPQ46" s="80"/>
      <c r="QPR46" s="80"/>
      <c r="QPS46" s="80"/>
      <c r="QPT46" s="80"/>
      <c r="QPU46" s="80"/>
      <c r="QPV46" s="80"/>
      <c r="QPW46" s="80"/>
      <c r="QPX46" s="80"/>
      <c r="QPY46" s="80"/>
      <c r="QPZ46" s="80"/>
      <c r="QQA46" s="80"/>
      <c r="QQB46" s="80"/>
      <c r="QQC46" s="80"/>
      <c r="QQD46" s="80"/>
      <c r="QQE46" s="80"/>
      <c r="QQF46" s="80"/>
      <c r="QQG46" s="80"/>
      <c r="QQH46" s="80"/>
      <c r="QQI46" s="80"/>
      <c r="QQJ46" s="80"/>
      <c r="QQK46" s="80"/>
      <c r="QQL46" s="80"/>
      <c r="QQM46" s="80"/>
      <c r="QQN46" s="80"/>
      <c r="QQO46" s="80"/>
      <c r="QQP46" s="80"/>
      <c r="QQQ46" s="80"/>
      <c r="QQR46" s="80"/>
      <c r="QQS46" s="80"/>
      <c r="QQT46" s="80"/>
      <c r="QQU46" s="80"/>
      <c r="QQV46" s="80"/>
      <c r="QQW46" s="80"/>
      <c r="QQX46" s="80"/>
      <c r="QQY46" s="80"/>
      <c r="QQZ46" s="80"/>
      <c r="QRA46" s="80"/>
      <c r="QRB46" s="80"/>
      <c r="QRC46" s="80"/>
      <c r="QRD46" s="80"/>
      <c r="QRE46" s="80"/>
      <c r="QRF46" s="80"/>
      <c r="QRG46" s="80"/>
      <c r="QRH46" s="80"/>
      <c r="QRI46" s="80"/>
      <c r="QRJ46" s="80"/>
      <c r="QRK46" s="80"/>
      <c r="QRL46" s="80"/>
      <c r="QRM46" s="80"/>
      <c r="QRN46" s="80"/>
      <c r="QRO46" s="80"/>
      <c r="QRP46" s="80"/>
      <c r="QRQ46" s="80"/>
      <c r="QRR46" s="80"/>
      <c r="QRS46" s="80"/>
      <c r="QRT46" s="80"/>
      <c r="QRU46" s="80"/>
      <c r="QRV46" s="80"/>
      <c r="QRW46" s="80"/>
      <c r="QRX46" s="80"/>
      <c r="QRY46" s="80"/>
      <c r="QRZ46" s="80"/>
      <c r="QSA46" s="80"/>
      <c r="QSB46" s="80"/>
      <c r="QSC46" s="80"/>
      <c r="QSD46" s="80"/>
      <c r="QSE46" s="80"/>
      <c r="QSF46" s="80"/>
      <c r="QSG46" s="80"/>
      <c r="QSH46" s="80"/>
      <c r="QSI46" s="80"/>
      <c r="QSJ46" s="80"/>
      <c r="QSK46" s="80"/>
      <c r="QSL46" s="80"/>
      <c r="QSM46" s="80"/>
      <c r="QSN46" s="80"/>
      <c r="QSO46" s="80"/>
      <c r="QSP46" s="80"/>
      <c r="QSQ46" s="80"/>
      <c r="QSR46" s="80"/>
      <c r="QSS46" s="80"/>
      <c r="QST46" s="80"/>
      <c r="QSU46" s="80"/>
      <c r="QSV46" s="80"/>
      <c r="QSW46" s="80"/>
      <c r="QSX46" s="80"/>
      <c r="QSY46" s="80"/>
      <c r="QSZ46" s="80"/>
      <c r="QTA46" s="80"/>
      <c r="QTB46" s="80"/>
      <c r="QTC46" s="80"/>
      <c r="QTD46" s="80"/>
      <c r="QTE46" s="80"/>
      <c r="QTF46" s="80"/>
      <c r="QTG46" s="80"/>
      <c r="QTH46" s="80"/>
      <c r="QTI46" s="80"/>
      <c r="QTJ46" s="80"/>
      <c r="QTK46" s="80"/>
      <c r="QTL46" s="80"/>
      <c r="QTM46" s="80"/>
      <c r="QTN46" s="80"/>
      <c r="QTO46" s="80"/>
      <c r="QTP46" s="80"/>
      <c r="QTQ46" s="80"/>
      <c r="QTR46" s="80"/>
      <c r="QTS46" s="80"/>
      <c r="QTT46" s="80"/>
      <c r="QTU46" s="80"/>
      <c r="QTV46" s="80"/>
      <c r="QTW46" s="80"/>
      <c r="QTX46" s="80"/>
      <c r="QTY46" s="80"/>
      <c r="QTZ46" s="80"/>
      <c r="QUA46" s="80"/>
      <c r="QUB46" s="80"/>
      <c r="QUC46" s="80"/>
      <c r="QUD46" s="80"/>
      <c r="QUE46" s="80"/>
      <c r="QUF46" s="80"/>
      <c r="QUG46" s="80"/>
      <c r="QUH46" s="80"/>
      <c r="QUI46" s="80"/>
      <c r="QUJ46" s="80"/>
      <c r="QUK46" s="80"/>
      <c r="QUL46" s="80"/>
      <c r="QUM46" s="80"/>
      <c r="QUN46" s="80"/>
      <c r="QUO46" s="80"/>
      <c r="QUP46" s="80"/>
      <c r="QUQ46" s="80"/>
      <c r="QUR46" s="80"/>
      <c r="QUS46" s="80"/>
      <c r="QUT46" s="80"/>
      <c r="QUU46" s="80"/>
      <c r="QUV46" s="80"/>
      <c r="QUW46" s="80"/>
      <c r="QUX46" s="80"/>
      <c r="QUY46" s="80"/>
      <c r="QUZ46" s="80"/>
      <c r="QVA46" s="80"/>
      <c r="QVB46" s="80"/>
      <c r="QVC46" s="80"/>
      <c r="QVD46" s="80"/>
      <c r="QVE46" s="80"/>
      <c r="QVF46" s="80"/>
      <c r="QVG46" s="80"/>
      <c r="QVH46" s="80"/>
      <c r="QVI46" s="80"/>
      <c r="QVJ46" s="80"/>
      <c r="QVK46" s="80"/>
      <c r="QVL46" s="80"/>
      <c r="QVM46" s="80"/>
      <c r="QVN46" s="80"/>
      <c r="QVO46" s="80"/>
      <c r="QVP46" s="80"/>
      <c r="QVQ46" s="80"/>
      <c r="QVR46" s="80"/>
      <c r="QVS46" s="80"/>
      <c r="QVT46" s="80"/>
      <c r="QVU46" s="80"/>
      <c r="QVV46" s="80"/>
      <c r="QVW46" s="80"/>
      <c r="QVX46" s="80"/>
      <c r="QVY46" s="80"/>
      <c r="QVZ46" s="80"/>
      <c r="QWA46" s="80"/>
      <c r="QWB46" s="80"/>
      <c r="QWC46" s="80"/>
      <c r="QWD46" s="80"/>
      <c r="QWE46" s="80"/>
      <c r="QWF46" s="80"/>
      <c r="QWG46" s="80"/>
      <c r="QWH46" s="80"/>
      <c r="QWI46" s="80"/>
      <c r="QWJ46" s="80"/>
      <c r="QWK46" s="80"/>
      <c r="QWL46" s="80"/>
      <c r="QWM46" s="80"/>
      <c r="QWN46" s="80"/>
      <c r="QWO46" s="80"/>
      <c r="QWP46" s="80"/>
      <c r="QWQ46" s="80"/>
      <c r="QWR46" s="80"/>
      <c r="QWS46" s="80"/>
      <c r="QWT46" s="80"/>
      <c r="QWU46" s="80"/>
      <c r="QWV46" s="80"/>
      <c r="QWW46" s="80"/>
      <c r="QWX46" s="80"/>
      <c r="QWY46" s="80"/>
      <c r="QWZ46" s="80"/>
      <c r="QXA46" s="80"/>
      <c r="QXB46" s="80"/>
      <c r="QXC46" s="80"/>
      <c r="QXD46" s="80"/>
      <c r="QXE46" s="80"/>
      <c r="QXF46" s="80"/>
      <c r="QXG46" s="80"/>
      <c r="QXH46" s="80"/>
      <c r="QXI46" s="80"/>
      <c r="QXJ46" s="80"/>
      <c r="QXK46" s="80"/>
      <c r="QXL46" s="80"/>
      <c r="QXM46" s="80"/>
      <c r="QXN46" s="80"/>
      <c r="QXO46" s="80"/>
      <c r="QXP46" s="80"/>
      <c r="QXQ46" s="80"/>
      <c r="QXR46" s="80"/>
      <c r="QXS46" s="80"/>
      <c r="QXT46" s="80"/>
      <c r="QXU46" s="80"/>
      <c r="QXV46" s="80"/>
      <c r="QXW46" s="80"/>
      <c r="QXX46" s="80"/>
      <c r="QXY46" s="80"/>
      <c r="QXZ46" s="80"/>
      <c r="QYA46" s="80"/>
      <c r="QYB46" s="80"/>
      <c r="QYC46" s="80"/>
      <c r="QYD46" s="80"/>
      <c r="QYE46" s="80"/>
      <c r="QYF46" s="80"/>
      <c r="QYG46" s="80"/>
      <c r="QYH46" s="80"/>
      <c r="QYI46" s="80"/>
      <c r="QYJ46" s="80"/>
      <c r="QYK46" s="80"/>
      <c r="QYL46" s="80"/>
      <c r="QYM46" s="80"/>
      <c r="QYN46" s="80"/>
      <c r="QYO46" s="80"/>
      <c r="QYP46" s="80"/>
      <c r="QYQ46" s="80"/>
      <c r="QYR46" s="80"/>
      <c r="QYS46" s="80"/>
      <c r="QYT46" s="80"/>
      <c r="QYU46" s="80"/>
      <c r="QYV46" s="80"/>
      <c r="QYW46" s="80"/>
      <c r="QYX46" s="80"/>
      <c r="QYY46" s="80"/>
      <c r="QYZ46" s="80"/>
      <c r="QZA46" s="80"/>
      <c r="QZB46" s="80"/>
      <c r="QZC46" s="80"/>
      <c r="QZD46" s="80"/>
      <c r="QZE46" s="80"/>
      <c r="QZF46" s="80"/>
      <c r="QZG46" s="80"/>
      <c r="QZH46" s="80"/>
      <c r="QZI46" s="80"/>
      <c r="QZJ46" s="80"/>
      <c r="QZK46" s="80"/>
      <c r="QZL46" s="80"/>
      <c r="QZM46" s="80"/>
      <c r="QZN46" s="80"/>
      <c r="QZO46" s="80"/>
      <c r="QZP46" s="80"/>
      <c r="QZQ46" s="80"/>
      <c r="QZR46" s="80"/>
      <c r="QZS46" s="80"/>
      <c r="QZT46" s="80"/>
      <c r="QZU46" s="80"/>
      <c r="QZV46" s="80"/>
      <c r="QZW46" s="80"/>
      <c r="QZX46" s="80"/>
      <c r="QZY46" s="80"/>
      <c r="QZZ46" s="80"/>
      <c r="RAA46" s="80"/>
      <c r="RAB46" s="80"/>
      <c r="RAC46" s="80"/>
      <c r="RAD46" s="80"/>
      <c r="RAE46" s="80"/>
      <c r="RAF46" s="80"/>
      <c r="RAG46" s="80"/>
      <c r="RAH46" s="80"/>
      <c r="RAI46" s="80"/>
      <c r="RAJ46" s="80"/>
      <c r="RAK46" s="80"/>
      <c r="RAL46" s="80"/>
      <c r="RAM46" s="80"/>
      <c r="RAN46" s="80"/>
      <c r="RAO46" s="80"/>
      <c r="RAP46" s="80"/>
      <c r="RAQ46" s="80"/>
      <c r="RAR46" s="80"/>
      <c r="RAS46" s="80"/>
      <c r="RAT46" s="80"/>
      <c r="RAU46" s="80"/>
      <c r="RAV46" s="80"/>
      <c r="RAW46" s="80"/>
      <c r="RAX46" s="80"/>
      <c r="RAY46" s="80"/>
      <c r="RAZ46" s="80"/>
      <c r="RBA46" s="80"/>
      <c r="RBB46" s="80"/>
      <c r="RBC46" s="80"/>
      <c r="RBD46" s="80"/>
      <c r="RBE46" s="80"/>
      <c r="RBF46" s="80"/>
      <c r="RBG46" s="80"/>
      <c r="RBH46" s="80"/>
      <c r="RBI46" s="80"/>
      <c r="RBJ46" s="80"/>
      <c r="RBK46" s="80"/>
      <c r="RBL46" s="80"/>
      <c r="RBM46" s="80"/>
      <c r="RBN46" s="80"/>
      <c r="RBO46" s="80"/>
      <c r="RBP46" s="80"/>
      <c r="RBQ46" s="80"/>
      <c r="RBR46" s="80"/>
      <c r="RBS46" s="80"/>
      <c r="RBT46" s="80"/>
      <c r="RBU46" s="80"/>
      <c r="RBV46" s="80"/>
      <c r="RBW46" s="80"/>
      <c r="RBX46" s="80"/>
      <c r="RBY46" s="80"/>
      <c r="RBZ46" s="80"/>
      <c r="RCA46" s="80"/>
      <c r="RCB46" s="80"/>
      <c r="RCC46" s="80"/>
      <c r="RCD46" s="80"/>
      <c r="RCE46" s="80"/>
      <c r="RCF46" s="80"/>
      <c r="RCG46" s="80"/>
      <c r="RCH46" s="80"/>
      <c r="RCI46" s="80"/>
      <c r="RCJ46" s="80"/>
      <c r="RCK46" s="80"/>
      <c r="RCL46" s="80"/>
      <c r="RCM46" s="80"/>
      <c r="RCN46" s="80"/>
      <c r="RCO46" s="80"/>
      <c r="RCP46" s="80"/>
      <c r="RCQ46" s="80"/>
      <c r="RCR46" s="80"/>
      <c r="RCS46" s="80"/>
      <c r="RCT46" s="80"/>
      <c r="RCU46" s="80"/>
      <c r="RCV46" s="80"/>
      <c r="RCW46" s="80"/>
      <c r="RCX46" s="80"/>
      <c r="RCY46" s="80"/>
      <c r="RCZ46" s="80"/>
      <c r="RDA46" s="80"/>
      <c r="RDB46" s="80"/>
      <c r="RDC46" s="80"/>
      <c r="RDD46" s="80"/>
      <c r="RDE46" s="80"/>
      <c r="RDF46" s="80"/>
      <c r="RDG46" s="80"/>
      <c r="RDH46" s="80"/>
      <c r="RDI46" s="80"/>
      <c r="RDJ46" s="80"/>
      <c r="RDK46" s="80"/>
      <c r="RDL46" s="80"/>
      <c r="RDM46" s="80"/>
      <c r="RDN46" s="80"/>
      <c r="RDO46" s="80"/>
      <c r="RDP46" s="80"/>
      <c r="RDQ46" s="80"/>
      <c r="RDR46" s="80"/>
      <c r="RDS46" s="80"/>
      <c r="RDT46" s="80"/>
      <c r="RDU46" s="80"/>
      <c r="RDV46" s="80"/>
      <c r="RDW46" s="80"/>
      <c r="RDX46" s="80"/>
      <c r="RDY46" s="80"/>
      <c r="RDZ46" s="80"/>
      <c r="REA46" s="80"/>
      <c r="REB46" s="80"/>
      <c r="REC46" s="80"/>
      <c r="RED46" s="80"/>
      <c r="REE46" s="80"/>
      <c r="REF46" s="80"/>
      <c r="REG46" s="80"/>
      <c r="REH46" s="80"/>
      <c r="REI46" s="80"/>
      <c r="REJ46" s="80"/>
      <c r="REK46" s="80"/>
      <c r="REL46" s="80"/>
      <c r="REM46" s="80"/>
      <c r="REN46" s="80"/>
      <c r="REO46" s="80"/>
      <c r="REP46" s="80"/>
      <c r="REQ46" s="80"/>
      <c r="RER46" s="80"/>
      <c r="RES46" s="80"/>
      <c r="RET46" s="80"/>
      <c r="REU46" s="80"/>
      <c r="REV46" s="80"/>
      <c r="REW46" s="80"/>
      <c r="REX46" s="80"/>
      <c r="REY46" s="80"/>
      <c r="REZ46" s="80"/>
      <c r="RFA46" s="80"/>
      <c r="RFB46" s="80"/>
      <c r="RFC46" s="80"/>
      <c r="RFD46" s="80"/>
      <c r="RFE46" s="80"/>
      <c r="RFF46" s="80"/>
      <c r="RFG46" s="80"/>
      <c r="RFH46" s="80"/>
      <c r="RFI46" s="80"/>
      <c r="RFJ46" s="80"/>
      <c r="RFK46" s="80"/>
      <c r="RFL46" s="80"/>
      <c r="RFM46" s="80"/>
      <c r="RFN46" s="80"/>
      <c r="RFO46" s="80"/>
      <c r="RFP46" s="80"/>
      <c r="RFQ46" s="80"/>
      <c r="RFR46" s="80"/>
      <c r="RFS46" s="80"/>
      <c r="RFT46" s="80"/>
      <c r="RFU46" s="80"/>
      <c r="RFV46" s="80"/>
      <c r="RFW46" s="80"/>
      <c r="RFX46" s="80"/>
      <c r="RFY46" s="80"/>
      <c r="RFZ46" s="80"/>
      <c r="RGA46" s="80"/>
      <c r="RGB46" s="80"/>
      <c r="RGC46" s="80"/>
      <c r="RGD46" s="80"/>
      <c r="RGE46" s="80"/>
      <c r="RGF46" s="80"/>
      <c r="RGG46" s="80"/>
      <c r="RGH46" s="80"/>
      <c r="RGI46" s="80"/>
      <c r="RGJ46" s="80"/>
      <c r="RGK46" s="80"/>
      <c r="RGL46" s="80"/>
      <c r="RGM46" s="80"/>
      <c r="RGN46" s="80"/>
      <c r="RGO46" s="80"/>
      <c r="RGP46" s="80"/>
      <c r="RGQ46" s="80"/>
      <c r="RGR46" s="80"/>
      <c r="RGS46" s="80"/>
      <c r="RGT46" s="80"/>
      <c r="RGU46" s="80"/>
      <c r="RGV46" s="80"/>
      <c r="RGW46" s="80"/>
      <c r="RGX46" s="80"/>
      <c r="RGY46" s="80"/>
      <c r="RGZ46" s="80"/>
      <c r="RHA46" s="80"/>
      <c r="RHB46" s="80"/>
      <c r="RHC46" s="80"/>
      <c r="RHD46" s="80"/>
      <c r="RHE46" s="80"/>
      <c r="RHF46" s="80"/>
      <c r="RHG46" s="80"/>
      <c r="RHH46" s="80"/>
      <c r="RHI46" s="80"/>
      <c r="RHJ46" s="80"/>
      <c r="RHK46" s="80"/>
      <c r="RHL46" s="80"/>
      <c r="RHM46" s="80"/>
      <c r="RHN46" s="80"/>
      <c r="RHO46" s="80"/>
      <c r="RHP46" s="80"/>
      <c r="RHQ46" s="80"/>
      <c r="RHR46" s="80"/>
      <c r="RHS46" s="80"/>
      <c r="RHT46" s="80"/>
      <c r="RHU46" s="80"/>
      <c r="RHV46" s="80"/>
      <c r="RHW46" s="80"/>
      <c r="RHX46" s="80"/>
      <c r="RHY46" s="80"/>
      <c r="RHZ46" s="80"/>
      <c r="RIA46" s="80"/>
      <c r="RIB46" s="80"/>
      <c r="RIC46" s="80"/>
      <c r="RID46" s="80"/>
      <c r="RIE46" s="80"/>
      <c r="RIF46" s="80"/>
      <c r="RIG46" s="80"/>
      <c r="RIH46" s="80"/>
      <c r="RII46" s="80"/>
      <c r="RIJ46" s="80"/>
      <c r="RIK46" s="80"/>
      <c r="RIL46" s="80"/>
      <c r="RIM46" s="80"/>
      <c r="RIN46" s="80"/>
      <c r="RIO46" s="80"/>
      <c r="RIP46" s="80"/>
      <c r="RIQ46" s="80"/>
      <c r="RIR46" s="80"/>
      <c r="RIS46" s="80"/>
      <c r="RIT46" s="80"/>
      <c r="RIU46" s="80"/>
      <c r="RIV46" s="80"/>
      <c r="RIW46" s="80"/>
      <c r="RIX46" s="80"/>
      <c r="RIY46" s="80"/>
      <c r="RIZ46" s="80"/>
      <c r="RJA46" s="80"/>
      <c r="RJB46" s="80"/>
      <c r="RJC46" s="80"/>
      <c r="RJD46" s="80"/>
      <c r="RJE46" s="80"/>
      <c r="RJF46" s="80"/>
      <c r="RJG46" s="80"/>
      <c r="RJH46" s="80"/>
      <c r="RJI46" s="80"/>
      <c r="RJJ46" s="80"/>
      <c r="RJK46" s="80"/>
      <c r="RJL46" s="80"/>
      <c r="RJM46" s="80"/>
      <c r="RJN46" s="80"/>
      <c r="RJO46" s="80"/>
      <c r="RJP46" s="80"/>
      <c r="RJQ46" s="80"/>
      <c r="RJR46" s="80"/>
      <c r="RJS46" s="80"/>
      <c r="RJT46" s="80"/>
      <c r="RJU46" s="80"/>
      <c r="RJV46" s="80"/>
      <c r="RJW46" s="80"/>
      <c r="RJX46" s="80"/>
      <c r="RJY46" s="80"/>
      <c r="RJZ46" s="80"/>
      <c r="RKA46" s="80"/>
      <c r="RKB46" s="80"/>
      <c r="RKC46" s="80"/>
      <c r="RKD46" s="80"/>
      <c r="RKE46" s="80"/>
      <c r="RKF46" s="80"/>
      <c r="RKG46" s="80"/>
      <c r="RKH46" s="80"/>
      <c r="RKI46" s="80"/>
      <c r="RKJ46" s="80"/>
      <c r="RKK46" s="80"/>
      <c r="RKL46" s="80"/>
      <c r="RKM46" s="80"/>
      <c r="RKN46" s="80"/>
      <c r="RKO46" s="80"/>
      <c r="RKP46" s="80"/>
      <c r="RKQ46" s="80"/>
      <c r="RKR46" s="80"/>
      <c r="RKS46" s="80"/>
      <c r="RKT46" s="80"/>
      <c r="RKU46" s="80"/>
      <c r="RKV46" s="80"/>
      <c r="RKW46" s="80"/>
      <c r="RKX46" s="80"/>
      <c r="RKY46" s="80"/>
      <c r="RKZ46" s="80"/>
      <c r="RLA46" s="80"/>
      <c r="RLB46" s="80"/>
      <c r="RLC46" s="80"/>
      <c r="RLD46" s="80"/>
      <c r="RLE46" s="80"/>
      <c r="RLF46" s="80"/>
      <c r="RLG46" s="80"/>
      <c r="RLH46" s="80"/>
      <c r="RLI46" s="80"/>
      <c r="RLJ46" s="80"/>
      <c r="RLK46" s="80"/>
      <c r="RLL46" s="80"/>
      <c r="RLM46" s="80"/>
      <c r="RLN46" s="80"/>
      <c r="RLO46" s="80"/>
      <c r="RLP46" s="80"/>
      <c r="RLQ46" s="80"/>
      <c r="RLR46" s="80"/>
      <c r="RLS46" s="80"/>
      <c r="RLT46" s="80"/>
      <c r="RLU46" s="80"/>
      <c r="RLV46" s="80"/>
      <c r="RLW46" s="80"/>
      <c r="RLX46" s="80"/>
      <c r="RLY46" s="80"/>
      <c r="RLZ46" s="80"/>
      <c r="RMA46" s="80"/>
      <c r="RMB46" s="80"/>
      <c r="RMC46" s="80"/>
      <c r="RMD46" s="80"/>
      <c r="RME46" s="80"/>
      <c r="RMF46" s="80"/>
      <c r="RMG46" s="80"/>
      <c r="RMH46" s="80"/>
      <c r="RMI46" s="80"/>
      <c r="RMJ46" s="80"/>
      <c r="RMK46" s="80"/>
      <c r="RML46" s="80"/>
      <c r="RMM46" s="80"/>
      <c r="RMN46" s="80"/>
      <c r="RMO46" s="80"/>
      <c r="RMP46" s="80"/>
      <c r="RMQ46" s="80"/>
      <c r="RMR46" s="80"/>
      <c r="RMS46" s="80"/>
      <c r="RMT46" s="80"/>
      <c r="RMU46" s="80"/>
      <c r="RMV46" s="80"/>
      <c r="RMW46" s="80"/>
      <c r="RMX46" s="80"/>
      <c r="RMY46" s="80"/>
      <c r="RMZ46" s="80"/>
      <c r="RNA46" s="80"/>
      <c r="RNB46" s="80"/>
      <c r="RNC46" s="80"/>
      <c r="RND46" s="80"/>
      <c r="RNE46" s="80"/>
      <c r="RNF46" s="80"/>
      <c r="RNG46" s="80"/>
      <c r="RNH46" s="80"/>
      <c r="RNI46" s="80"/>
      <c r="RNJ46" s="80"/>
      <c r="RNK46" s="80"/>
      <c r="RNL46" s="80"/>
      <c r="RNM46" s="80"/>
      <c r="RNN46" s="80"/>
      <c r="RNO46" s="80"/>
      <c r="RNP46" s="80"/>
      <c r="RNQ46" s="80"/>
      <c r="RNR46" s="80"/>
      <c r="RNS46" s="80"/>
      <c r="RNT46" s="80"/>
      <c r="RNU46" s="80"/>
      <c r="RNV46" s="80"/>
      <c r="RNW46" s="80"/>
      <c r="RNX46" s="80"/>
      <c r="RNY46" s="80"/>
      <c r="RNZ46" s="80"/>
      <c r="ROA46" s="80"/>
      <c r="ROB46" s="80"/>
      <c r="ROC46" s="80"/>
      <c r="ROD46" s="80"/>
      <c r="ROE46" s="80"/>
      <c r="ROF46" s="80"/>
      <c r="ROG46" s="80"/>
      <c r="ROH46" s="80"/>
      <c r="ROI46" s="80"/>
      <c r="ROJ46" s="80"/>
      <c r="ROK46" s="80"/>
      <c r="ROL46" s="80"/>
      <c r="ROM46" s="80"/>
      <c r="RON46" s="80"/>
      <c r="ROO46" s="80"/>
      <c r="ROP46" s="80"/>
      <c r="ROQ46" s="80"/>
      <c r="ROR46" s="80"/>
      <c r="ROS46" s="80"/>
      <c r="ROT46" s="80"/>
      <c r="ROU46" s="80"/>
      <c r="ROV46" s="80"/>
      <c r="ROW46" s="80"/>
      <c r="ROX46" s="80"/>
      <c r="ROY46" s="80"/>
      <c r="ROZ46" s="80"/>
      <c r="RPA46" s="80"/>
      <c r="RPB46" s="80"/>
      <c r="RPC46" s="80"/>
      <c r="RPD46" s="80"/>
      <c r="RPE46" s="80"/>
      <c r="RPF46" s="80"/>
      <c r="RPG46" s="80"/>
      <c r="RPH46" s="80"/>
      <c r="RPI46" s="80"/>
      <c r="RPJ46" s="80"/>
      <c r="RPK46" s="80"/>
      <c r="RPL46" s="80"/>
      <c r="RPM46" s="80"/>
      <c r="RPN46" s="80"/>
      <c r="RPO46" s="80"/>
      <c r="RPP46" s="80"/>
      <c r="RPQ46" s="80"/>
      <c r="RPR46" s="80"/>
      <c r="RPS46" s="80"/>
      <c r="RPT46" s="80"/>
      <c r="RPU46" s="80"/>
      <c r="RPV46" s="80"/>
      <c r="RPW46" s="80"/>
      <c r="RPX46" s="80"/>
      <c r="RPY46" s="80"/>
      <c r="RPZ46" s="80"/>
      <c r="RQA46" s="80"/>
      <c r="RQB46" s="80"/>
      <c r="RQC46" s="80"/>
      <c r="RQD46" s="80"/>
      <c r="RQE46" s="80"/>
      <c r="RQF46" s="80"/>
      <c r="RQG46" s="80"/>
      <c r="RQH46" s="80"/>
      <c r="RQI46" s="80"/>
      <c r="RQJ46" s="80"/>
      <c r="RQK46" s="80"/>
      <c r="RQL46" s="80"/>
      <c r="RQM46" s="80"/>
      <c r="RQN46" s="80"/>
      <c r="RQO46" s="80"/>
      <c r="RQP46" s="80"/>
      <c r="RQQ46" s="80"/>
      <c r="RQR46" s="80"/>
      <c r="RQS46" s="80"/>
      <c r="RQT46" s="80"/>
      <c r="RQU46" s="80"/>
      <c r="RQV46" s="80"/>
      <c r="RQW46" s="80"/>
      <c r="RQX46" s="80"/>
      <c r="RQY46" s="80"/>
      <c r="RQZ46" s="80"/>
      <c r="RRA46" s="80"/>
      <c r="RRB46" s="80"/>
      <c r="RRC46" s="80"/>
      <c r="RRD46" s="80"/>
      <c r="RRE46" s="80"/>
      <c r="RRF46" s="80"/>
      <c r="RRG46" s="80"/>
      <c r="RRH46" s="80"/>
      <c r="RRI46" s="80"/>
      <c r="RRJ46" s="80"/>
      <c r="RRK46" s="80"/>
      <c r="RRL46" s="80"/>
      <c r="RRM46" s="80"/>
      <c r="RRN46" s="80"/>
      <c r="RRO46" s="80"/>
      <c r="RRP46" s="80"/>
      <c r="RRQ46" s="80"/>
      <c r="RRR46" s="80"/>
      <c r="RRS46" s="80"/>
      <c r="RRT46" s="80"/>
      <c r="RRU46" s="80"/>
      <c r="RRV46" s="80"/>
      <c r="RRW46" s="80"/>
      <c r="RRX46" s="80"/>
      <c r="RRY46" s="80"/>
      <c r="RRZ46" s="80"/>
      <c r="RSA46" s="80"/>
      <c r="RSB46" s="80"/>
      <c r="RSC46" s="80"/>
      <c r="RSD46" s="80"/>
      <c r="RSE46" s="80"/>
      <c r="RSF46" s="80"/>
      <c r="RSG46" s="80"/>
      <c r="RSH46" s="80"/>
      <c r="RSI46" s="80"/>
      <c r="RSJ46" s="80"/>
      <c r="RSK46" s="80"/>
      <c r="RSL46" s="80"/>
      <c r="RSM46" s="80"/>
      <c r="RSN46" s="80"/>
      <c r="RSO46" s="80"/>
      <c r="RSP46" s="80"/>
      <c r="RSQ46" s="80"/>
      <c r="RSR46" s="80"/>
      <c r="RSS46" s="80"/>
      <c r="RST46" s="80"/>
      <c r="RSU46" s="80"/>
      <c r="RSV46" s="80"/>
      <c r="RSW46" s="80"/>
      <c r="RSX46" s="80"/>
      <c r="RSY46" s="80"/>
      <c r="RSZ46" s="80"/>
      <c r="RTA46" s="80"/>
      <c r="RTB46" s="80"/>
      <c r="RTC46" s="80"/>
      <c r="RTD46" s="80"/>
      <c r="RTE46" s="80"/>
      <c r="RTF46" s="80"/>
      <c r="RTG46" s="80"/>
      <c r="RTH46" s="80"/>
      <c r="RTI46" s="80"/>
      <c r="RTJ46" s="80"/>
      <c r="RTK46" s="80"/>
      <c r="RTL46" s="80"/>
      <c r="RTM46" s="80"/>
      <c r="RTN46" s="80"/>
      <c r="RTO46" s="80"/>
      <c r="RTP46" s="80"/>
      <c r="RTQ46" s="80"/>
      <c r="RTR46" s="80"/>
      <c r="RTS46" s="80"/>
      <c r="RTT46" s="80"/>
      <c r="RTU46" s="80"/>
      <c r="RTV46" s="80"/>
      <c r="RTW46" s="80"/>
      <c r="RTX46" s="80"/>
      <c r="RTY46" s="80"/>
      <c r="RTZ46" s="80"/>
      <c r="RUA46" s="80"/>
      <c r="RUB46" s="80"/>
      <c r="RUC46" s="80"/>
      <c r="RUD46" s="80"/>
      <c r="RUE46" s="80"/>
      <c r="RUF46" s="80"/>
      <c r="RUG46" s="80"/>
      <c r="RUH46" s="80"/>
      <c r="RUI46" s="80"/>
      <c r="RUJ46" s="80"/>
      <c r="RUK46" s="80"/>
      <c r="RUL46" s="80"/>
      <c r="RUM46" s="80"/>
      <c r="RUN46" s="80"/>
      <c r="RUO46" s="80"/>
      <c r="RUP46" s="80"/>
      <c r="RUQ46" s="80"/>
      <c r="RUR46" s="80"/>
      <c r="RUS46" s="80"/>
      <c r="RUT46" s="80"/>
      <c r="RUU46" s="80"/>
      <c r="RUV46" s="80"/>
      <c r="RUW46" s="80"/>
      <c r="RUX46" s="80"/>
      <c r="RUY46" s="80"/>
      <c r="RUZ46" s="80"/>
      <c r="RVA46" s="80"/>
      <c r="RVB46" s="80"/>
      <c r="RVC46" s="80"/>
      <c r="RVD46" s="80"/>
      <c r="RVE46" s="80"/>
      <c r="RVF46" s="80"/>
      <c r="RVG46" s="80"/>
      <c r="RVH46" s="80"/>
      <c r="RVI46" s="80"/>
      <c r="RVJ46" s="80"/>
      <c r="RVK46" s="80"/>
      <c r="RVL46" s="80"/>
      <c r="RVM46" s="80"/>
      <c r="RVN46" s="80"/>
      <c r="RVO46" s="80"/>
      <c r="RVP46" s="80"/>
      <c r="RVQ46" s="80"/>
      <c r="RVR46" s="80"/>
      <c r="RVS46" s="80"/>
      <c r="RVT46" s="80"/>
      <c r="RVU46" s="80"/>
      <c r="RVV46" s="80"/>
      <c r="RVW46" s="80"/>
      <c r="RVX46" s="80"/>
      <c r="RVY46" s="80"/>
      <c r="RVZ46" s="80"/>
      <c r="RWA46" s="80"/>
      <c r="RWB46" s="80"/>
      <c r="RWC46" s="80"/>
      <c r="RWD46" s="80"/>
      <c r="RWE46" s="80"/>
      <c r="RWF46" s="80"/>
      <c r="RWG46" s="80"/>
      <c r="RWH46" s="80"/>
      <c r="RWI46" s="80"/>
      <c r="RWJ46" s="80"/>
      <c r="RWK46" s="80"/>
      <c r="RWL46" s="80"/>
      <c r="RWM46" s="80"/>
      <c r="RWN46" s="80"/>
      <c r="RWO46" s="80"/>
      <c r="RWP46" s="80"/>
      <c r="RWQ46" s="80"/>
      <c r="RWR46" s="80"/>
      <c r="RWS46" s="80"/>
      <c r="RWT46" s="80"/>
      <c r="RWU46" s="80"/>
      <c r="RWV46" s="80"/>
      <c r="RWW46" s="80"/>
      <c r="RWX46" s="80"/>
      <c r="RWY46" s="80"/>
      <c r="RWZ46" s="80"/>
      <c r="RXA46" s="80"/>
      <c r="RXB46" s="80"/>
      <c r="RXC46" s="80"/>
      <c r="RXD46" s="80"/>
      <c r="RXE46" s="80"/>
      <c r="RXF46" s="80"/>
      <c r="RXG46" s="80"/>
      <c r="RXH46" s="80"/>
      <c r="RXI46" s="80"/>
      <c r="RXJ46" s="80"/>
      <c r="RXK46" s="80"/>
      <c r="RXL46" s="80"/>
      <c r="RXM46" s="80"/>
      <c r="RXN46" s="80"/>
      <c r="RXO46" s="80"/>
      <c r="RXP46" s="80"/>
      <c r="RXQ46" s="80"/>
      <c r="RXR46" s="80"/>
      <c r="RXS46" s="80"/>
      <c r="RXT46" s="80"/>
      <c r="RXU46" s="80"/>
      <c r="RXV46" s="80"/>
      <c r="RXW46" s="80"/>
      <c r="RXX46" s="80"/>
      <c r="RXY46" s="80"/>
      <c r="RXZ46" s="80"/>
      <c r="RYA46" s="80"/>
      <c r="RYB46" s="80"/>
      <c r="RYC46" s="80"/>
      <c r="RYD46" s="80"/>
      <c r="RYE46" s="80"/>
      <c r="RYF46" s="80"/>
      <c r="RYG46" s="80"/>
      <c r="RYH46" s="80"/>
      <c r="RYI46" s="80"/>
      <c r="RYJ46" s="80"/>
      <c r="RYK46" s="80"/>
      <c r="RYL46" s="80"/>
      <c r="RYM46" s="80"/>
      <c r="RYN46" s="80"/>
      <c r="RYO46" s="80"/>
      <c r="RYP46" s="80"/>
      <c r="RYQ46" s="80"/>
      <c r="RYR46" s="80"/>
      <c r="RYS46" s="80"/>
      <c r="RYT46" s="80"/>
      <c r="RYU46" s="80"/>
      <c r="RYV46" s="80"/>
      <c r="RYW46" s="80"/>
      <c r="RYX46" s="80"/>
      <c r="RYY46" s="80"/>
      <c r="RYZ46" s="80"/>
      <c r="RZA46" s="80"/>
      <c r="RZB46" s="80"/>
      <c r="RZC46" s="80"/>
      <c r="RZD46" s="80"/>
      <c r="RZE46" s="80"/>
      <c r="RZF46" s="80"/>
      <c r="RZG46" s="80"/>
      <c r="RZH46" s="80"/>
      <c r="RZI46" s="80"/>
      <c r="RZJ46" s="80"/>
      <c r="RZK46" s="80"/>
      <c r="RZL46" s="80"/>
      <c r="RZM46" s="80"/>
      <c r="RZN46" s="80"/>
      <c r="RZO46" s="80"/>
      <c r="RZP46" s="80"/>
      <c r="RZQ46" s="80"/>
      <c r="RZR46" s="80"/>
      <c r="RZS46" s="80"/>
      <c r="RZT46" s="80"/>
      <c r="RZU46" s="80"/>
      <c r="RZV46" s="80"/>
      <c r="RZW46" s="80"/>
      <c r="RZX46" s="80"/>
      <c r="RZY46" s="80"/>
      <c r="RZZ46" s="80"/>
      <c r="SAA46" s="80"/>
      <c r="SAB46" s="80"/>
      <c r="SAC46" s="80"/>
      <c r="SAD46" s="80"/>
      <c r="SAE46" s="80"/>
      <c r="SAF46" s="80"/>
      <c r="SAG46" s="80"/>
      <c r="SAH46" s="80"/>
      <c r="SAI46" s="80"/>
      <c r="SAJ46" s="80"/>
      <c r="SAK46" s="80"/>
      <c r="SAL46" s="80"/>
      <c r="SAM46" s="80"/>
      <c r="SAN46" s="80"/>
      <c r="SAO46" s="80"/>
      <c r="SAP46" s="80"/>
      <c r="SAQ46" s="80"/>
      <c r="SAR46" s="80"/>
      <c r="SAS46" s="80"/>
      <c r="SAT46" s="80"/>
      <c r="SAU46" s="80"/>
      <c r="SAV46" s="80"/>
      <c r="SAW46" s="80"/>
      <c r="SAX46" s="80"/>
      <c r="SAY46" s="80"/>
      <c r="SAZ46" s="80"/>
      <c r="SBA46" s="80"/>
      <c r="SBB46" s="80"/>
      <c r="SBC46" s="80"/>
      <c r="SBD46" s="80"/>
      <c r="SBE46" s="80"/>
      <c r="SBF46" s="80"/>
      <c r="SBG46" s="80"/>
      <c r="SBH46" s="80"/>
      <c r="SBI46" s="80"/>
      <c r="SBJ46" s="80"/>
      <c r="SBK46" s="80"/>
      <c r="SBL46" s="80"/>
      <c r="SBM46" s="80"/>
      <c r="SBN46" s="80"/>
      <c r="SBO46" s="80"/>
      <c r="SBP46" s="80"/>
      <c r="SBQ46" s="80"/>
      <c r="SBR46" s="80"/>
      <c r="SBS46" s="80"/>
      <c r="SBT46" s="80"/>
      <c r="SBU46" s="80"/>
      <c r="SBV46" s="80"/>
      <c r="SBW46" s="80"/>
      <c r="SBX46" s="80"/>
      <c r="SBY46" s="80"/>
      <c r="SBZ46" s="80"/>
      <c r="SCA46" s="80"/>
      <c r="SCB46" s="80"/>
      <c r="SCC46" s="80"/>
      <c r="SCD46" s="80"/>
      <c r="SCE46" s="80"/>
      <c r="SCF46" s="80"/>
      <c r="SCG46" s="80"/>
      <c r="SCH46" s="80"/>
      <c r="SCI46" s="80"/>
      <c r="SCJ46" s="80"/>
      <c r="SCK46" s="80"/>
      <c r="SCL46" s="80"/>
      <c r="SCM46" s="80"/>
      <c r="SCN46" s="80"/>
      <c r="SCO46" s="80"/>
      <c r="SCP46" s="80"/>
      <c r="SCQ46" s="80"/>
      <c r="SCR46" s="80"/>
      <c r="SCS46" s="80"/>
      <c r="SCT46" s="80"/>
      <c r="SCU46" s="80"/>
      <c r="SCV46" s="80"/>
      <c r="SCW46" s="80"/>
      <c r="SCX46" s="80"/>
      <c r="SCY46" s="80"/>
      <c r="SCZ46" s="80"/>
      <c r="SDA46" s="80"/>
      <c r="SDB46" s="80"/>
      <c r="SDC46" s="80"/>
      <c r="SDD46" s="80"/>
      <c r="SDE46" s="80"/>
      <c r="SDF46" s="80"/>
      <c r="SDG46" s="80"/>
      <c r="SDH46" s="80"/>
      <c r="SDI46" s="80"/>
      <c r="SDJ46" s="80"/>
      <c r="SDK46" s="80"/>
      <c r="SDL46" s="80"/>
      <c r="SDM46" s="80"/>
      <c r="SDN46" s="80"/>
      <c r="SDO46" s="80"/>
      <c r="SDP46" s="80"/>
      <c r="SDQ46" s="80"/>
      <c r="SDR46" s="80"/>
      <c r="SDS46" s="80"/>
      <c r="SDT46" s="80"/>
      <c r="SDU46" s="80"/>
      <c r="SDV46" s="80"/>
      <c r="SDW46" s="80"/>
      <c r="SDX46" s="80"/>
      <c r="SDY46" s="80"/>
      <c r="SDZ46" s="80"/>
      <c r="SEA46" s="80"/>
      <c r="SEB46" s="80"/>
      <c r="SEC46" s="80"/>
      <c r="SED46" s="80"/>
      <c r="SEE46" s="80"/>
      <c r="SEF46" s="80"/>
      <c r="SEG46" s="80"/>
      <c r="SEH46" s="80"/>
      <c r="SEI46" s="80"/>
      <c r="SEJ46" s="80"/>
      <c r="SEK46" s="80"/>
      <c r="SEL46" s="80"/>
      <c r="SEM46" s="80"/>
      <c r="SEN46" s="80"/>
      <c r="SEO46" s="80"/>
      <c r="SEP46" s="80"/>
      <c r="SEQ46" s="80"/>
      <c r="SER46" s="80"/>
      <c r="SES46" s="80"/>
      <c r="SET46" s="80"/>
      <c r="SEU46" s="80"/>
      <c r="SEV46" s="80"/>
      <c r="SEW46" s="80"/>
      <c r="SEX46" s="80"/>
      <c r="SEY46" s="80"/>
      <c r="SEZ46" s="80"/>
      <c r="SFA46" s="80"/>
      <c r="SFB46" s="80"/>
      <c r="SFC46" s="80"/>
      <c r="SFD46" s="80"/>
      <c r="SFE46" s="80"/>
      <c r="SFF46" s="80"/>
      <c r="SFG46" s="80"/>
      <c r="SFH46" s="80"/>
      <c r="SFI46" s="80"/>
      <c r="SFJ46" s="80"/>
      <c r="SFK46" s="80"/>
      <c r="SFL46" s="80"/>
      <c r="SFM46" s="80"/>
      <c r="SFN46" s="80"/>
      <c r="SFO46" s="80"/>
      <c r="SFP46" s="80"/>
      <c r="SFQ46" s="80"/>
      <c r="SFR46" s="80"/>
      <c r="SFS46" s="80"/>
      <c r="SFT46" s="80"/>
      <c r="SFU46" s="80"/>
      <c r="SFV46" s="80"/>
      <c r="SFW46" s="80"/>
      <c r="SFX46" s="80"/>
      <c r="SFY46" s="80"/>
      <c r="SFZ46" s="80"/>
      <c r="SGA46" s="80"/>
      <c r="SGB46" s="80"/>
      <c r="SGC46" s="80"/>
      <c r="SGD46" s="80"/>
      <c r="SGE46" s="80"/>
      <c r="SGF46" s="80"/>
      <c r="SGG46" s="80"/>
      <c r="SGH46" s="80"/>
      <c r="SGI46" s="80"/>
      <c r="SGJ46" s="80"/>
      <c r="SGK46" s="80"/>
      <c r="SGL46" s="80"/>
      <c r="SGM46" s="80"/>
      <c r="SGN46" s="80"/>
      <c r="SGO46" s="80"/>
      <c r="SGP46" s="80"/>
      <c r="SGQ46" s="80"/>
      <c r="SGR46" s="80"/>
      <c r="SGS46" s="80"/>
      <c r="SGT46" s="80"/>
      <c r="SGU46" s="80"/>
      <c r="SGV46" s="80"/>
      <c r="SGW46" s="80"/>
      <c r="SGX46" s="80"/>
      <c r="SGY46" s="80"/>
      <c r="SGZ46" s="80"/>
      <c r="SHA46" s="80"/>
      <c r="SHB46" s="80"/>
      <c r="SHC46" s="80"/>
      <c r="SHD46" s="80"/>
      <c r="SHE46" s="80"/>
      <c r="SHF46" s="80"/>
      <c r="SHG46" s="80"/>
      <c r="SHH46" s="80"/>
      <c r="SHI46" s="80"/>
      <c r="SHJ46" s="80"/>
      <c r="SHK46" s="80"/>
      <c r="SHL46" s="80"/>
      <c r="SHM46" s="80"/>
      <c r="SHN46" s="80"/>
      <c r="SHO46" s="80"/>
      <c r="SHP46" s="80"/>
      <c r="SHQ46" s="80"/>
      <c r="SHR46" s="80"/>
      <c r="SHS46" s="80"/>
      <c r="SHT46" s="80"/>
      <c r="SHU46" s="80"/>
      <c r="SHV46" s="80"/>
      <c r="SHW46" s="80"/>
      <c r="SHX46" s="80"/>
      <c r="SHY46" s="80"/>
      <c r="SHZ46" s="80"/>
      <c r="SIA46" s="80"/>
      <c r="SIB46" s="80"/>
      <c r="SIC46" s="80"/>
      <c r="SID46" s="80"/>
      <c r="SIE46" s="80"/>
      <c r="SIF46" s="80"/>
      <c r="SIG46" s="80"/>
      <c r="SIH46" s="80"/>
      <c r="SII46" s="80"/>
      <c r="SIJ46" s="80"/>
      <c r="SIK46" s="80"/>
      <c r="SIL46" s="80"/>
      <c r="SIM46" s="80"/>
      <c r="SIN46" s="80"/>
      <c r="SIO46" s="80"/>
      <c r="SIP46" s="80"/>
      <c r="SIQ46" s="80"/>
      <c r="SIR46" s="80"/>
      <c r="SIS46" s="80"/>
      <c r="SIT46" s="80"/>
      <c r="SIU46" s="80"/>
      <c r="SIV46" s="80"/>
      <c r="SIW46" s="80"/>
      <c r="SIX46" s="80"/>
      <c r="SIY46" s="80"/>
      <c r="SIZ46" s="80"/>
      <c r="SJA46" s="80"/>
      <c r="SJB46" s="80"/>
      <c r="SJC46" s="80"/>
      <c r="SJD46" s="80"/>
      <c r="SJE46" s="80"/>
      <c r="SJF46" s="80"/>
      <c r="SJG46" s="80"/>
      <c r="SJH46" s="80"/>
      <c r="SJI46" s="80"/>
      <c r="SJJ46" s="80"/>
      <c r="SJK46" s="80"/>
      <c r="SJL46" s="80"/>
      <c r="SJM46" s="80"/>
      <c r="SJN46" s="80"/>
      <c r="SJO46" s="80"/>
      <c r="SJP46" s="80"/>
      <c r="SJQ46" s="80"/>
      <c r="SJR46" s="80"/>
      <c r="SJS46" s="80"/>
      <c r="SJT46" s="80"/>
      <c r="SJU46" s="80"/>
      <c r="SJV46" s="80"/>
      <c r="SJW46" s="80"/>
      <c r="SJX46" s="80"/>
      <c r="SJY46" s="80"/>
      <c r="SJZ46" s="80"/>
      <c r="SKA46" s="80"/>
      <c r="SKB46" s="80"/>
      <c r="SKC46" s="80"/>
      <c r="SKD46" s="80"/>
      <c r="SKE46" s="80"/>
      <c r="SKF46" s="80"/>
      <c r="SKG46" s="80"/>
      <c r="SKH46" s="80"/>
      <c r="SKI46" s="80"/>
      <c r="SKJ46" s="80"/>
      <c r="SKK46" s="80"/>
      <c r="SKL46" s="80"/>
      <c r="SKM46" s="80"/>
      <c r="SKN46" s="80"/>
      <c r="SKO46" s="80"/>
      <c r="SKP46" s="80"/>
      <c r="SKQ46" s="80"/>
      <c r="SKR46" s="80"/>
      <c r="SKS46" s="80"/>
      <c r="SKT46" s="80"/>
      <c r="SKU46" s="80"/>
      <c r="SKV46" s="80"/>
      <c r="SKW46" s="80"/>
      <c r="SKX46" s="80"/>
      <c r="SKY46" s="80"/>
      <c r="SKZ46" s="80"/>
      <c r="SLA46" s="80"/>
      <c r="SLB46" s="80"/>
      <c r="SLC46" s="80"/>
      <c r="SLD46" s="80"/>
      <c r="SLE46" s="80"/>
      <c r="SLF46" s="80"/>
      <c r="SLG46" s="80"/>
      <c r="SLH46" s="80"/>
      <c r="SLI46" s="80"/>
      <c r="SLJ46" s="80"/>
      <c r="SLK46" s="80"/>
      <c r="SLL46" s="80"/>
      <c r="SLM46" s="80"/>
      <c r="SLN46" s="80"/>
      <c r="SLO46" s="80"/>
      <c r="SLP46" s="80"/>
      <c r="SLQ46" s="80"/>
      <c r="SLR46" s="80"/>
      <c r="SLS46" s="80"/>
      <c r="SLT46" s="80"/>
      <c r="SLU46" s="80"/>
      <c r="SLV46" s="80"/>
      <c r="SLW46" s="80"/>
      <c r="SLX46" s="80"/>
      <c r="SLY46" s="80"/>
      <c r="SLZ46" s="80"/>
      <c r="SMA46" s="80"/>
      <c r="SMB46" s="80"/>
      <c r="SMC46" s="80"/>
      <c r="SMD46" s="80"/>
      <c r="SME46" s="80"/>
      <c r="SMF46" s="80"/>
      <c r="SMG46" s="80"/>
      <c r="SMH46" s="80"/>
      <c r="SMI46" s="80"/>
      <c r="SMJ46" s="80"/>
      <c r="SMK46" s="80"/>
      <c r="SML46" s="80"/>
      <c r="SMM46" s="80"/>
      <c r="SMN46" s="80"/>
      <c r="SMO46" s="80"/>
      <c r="SMP46" s="80"/>
      <c r="SMQ46" s="80"/>
      <c r="SMR46" s="80"/>
      <c r="SMS46" s="80"/>
      <c r="SMT46" s="80"/>
      <c r="SMU46" s="80"/>
      <c r="SMV46" s="80"/>
      <c r="SMW46" s="80"/>
      <c r="SMX46" s="80"/>
      <c r="SMY46" s="80"/>
      <c r="SMZ46" s="80"/>
      <c r="SNA46" s="80"/>
      <c r="SNB46" s="80"/>
      <c r="SNC46" s="80"/>
      <c r="SND46" s="80"/>
      <c r="SNE46" s="80"/>
      <c r="SNF46" s="80"/>
      <c r="SNG46" s="80"/>
      <c r="SNH46" s="80"/>
      <c r="SNI46" s="80"/>
      <c r="SNJ46" s="80"/>
      <c r="SNK46" s="80"/>
      <c r="SNL46" s="80"/>
      <c r="SNM46" s="80"/>
      <c r="SNN46" s="80"/>
      <c r="SNO46" s="80"/>
      <c r="SNP46" s="80"/>
      <c r="SNQ46" s="80"/>
      <c r="SNR46" s="80"/>
      <c r="SNS46" s="80"/>
      <c r="SNT46" s="80"/>
      <c r="SNU46" s="80"/>
      <c r="SNV46" s="80"/>
      <c r="SNW46" s="80"/>
      <c r="SNX46" s="80"/>
      <c r="SNY46" s="80"/>
      <c r="SNZ46" s="80"/>
      <c r="SOA46" s="80"/>
      <c r="SOB46" s="80"/>
      <c r="SOC46" s="80"/>
      <c r="SOD46" s="80"/>
      <c r="SOE46" s="80"/>
      <c r="SOF46" s="80"/>
      <c r="SOG46" s="80"/>
      <c r="SOH46" s="80"/>
      <c r="SOI46" s="80"/>
      <c r="SOJ46" s="80"/>
      <c r="SOK46" s="80"/>
      <c r="SOL46" s="80"/>
      <c r="SOM46" s="80"/>
      <c r="SON46" s="80"/>
      <c r="SOO46" s="80"/>
      <c r="SOP46" s="80"/>
      <c r="SOQ46" s="80"/>
      <c r="SOR46" s="80"/>
      <c r="SOS46" s="80"/>
      <c r="SOT46" s="80"/>
      <c r="SOU46" s="80"/>
      <c r="SOV46" s="80"/>
      <c r="SOW46" s="80"/>
      <c r="SOX46" s="80"/>
      <c r="SOY46" s="80"/>
      <c r="SOZ46" s="80"/>
      <c r="SPA46" s="80"/>
      <c r="SPB46" s="80"/>
      <c r="SPC46" s="80"/>
      <c r="SPD46" s="80"/>
      <c r="SPE46" s="80"/>
      <c r="SPF46" s="80"/>
      <c r="SPG46" s="80"/>
      <c r="SPH46" s="80"/>
      <c r="SPI46" s="80"/>
      <c r="SPJ46" s="80"/>
      <c r="SPK46" s="80"/>
      <c r="SPL46" s="80"/>
      <c r="SPM46" s="80"/>
      <c r="SPN46" s="80"/>
      <c r="SPO46" s="80"/>
      <c r="SPP46" s="80"/>
      <c r="SPQ46" s="80"/>
      <c r="SPR46" s="80"/>
      <c r="SPS46" s="80"/>
      <c r="SPT46" s="80"/>
      <c r="SPU46" s="80"/>
      <c r="SPV46" s="80"/>
      <c r="SPW46" s="80"/>
      <c r="SPX46" s="80"/>
      <c r="SPY46" s="80"/>
      <c r="SPZ46" s="80"/>
      <c r="SQA46" s="80"/>
      <c r="SQB46" s="80"/>
      <c r="SQC46" s="80"/>
      <c r="SQD46" s="80"/>
      <c r="SQE46" s="80"/>
      <c r="SQF46" s="80"/>
      <c r="SQG46" s="80"/>
      <c r="SQH46" s="80"/>
      <c r="SQI46" s="80"/>
      <c r="SQJ46" s="80"/>
      <c r="SQK46" s="80"/>
      <c r="SQL46" s="80"/>
      <c r="SQM46" s="80"/>
      <c r="SQN46" s="80"/>
      <c r="SQO46" s="80"/>
      <c r="SQP46" s="80"/>
      <c r="SQQ46" s="80"/>
      <c r="SQR46" s="80"/>
      <c r="SQS46" s="80"/>
      <c r="SQT46" s="80"/>
      <c r="SQU46" s="80"/>
      <c r="SQV46" s="80"/>
      <c r="SQW46" s="80"/>
      <c r="SQX46" s="80"/>
      <c r="SQY46" s="80"/>
      <c r="SQZ46" s="80"/>
      <c r="SRA46" s="80"/>
      <c r="SRB46" s="80"/>
      <c r="SRC46" s="80"/>
      <c r="SRD46" s="80"/>
      <c r="SRE46" s="80"/>
      <c r="SRF46" s="80"/>
      <c r="SRG46" s="80"/>
      <c r="SRH46" s="80"/>
      <c r="SRI46" s="80"/>
      <c r="SRJ46" s="80"/>
      <c r="SRK46" s="80"/>
      <c r="SRL46" s="80"/>
      <c r="SRM46" s="80"/>
      <c r="SRN46" s="80"/>
      <c r="SRO46" s="80"/>
      <c r="SRP46" s="80"/>
      <c r="SRQ46" s="80"/>
      <c r="SRR46" s="80"/>
      <c r="SRS46" s="80"/>
      <c r="SRT46" s="80"/>
      <c r="SRU46" s="80"/>
      <c r="SRV46" s="80"/>
      <c r="SRW46" s="80"/>
      <c r="SRX46" s="80"/>
      <c r="SRY46" s="80"/>
      <c r="SRZ46" s="80"/>
      <c r="SSA46" s="80"/>
      <c r="SSB46" s="80"/>
      <c r="SSC46" s="80"/>
      <c r="SSD46" s="80"/>
      <c r="SSE46" s="80"/>
      <c r="SSF46" s="80"/>
      <c r="SSG46" s="80"/>
      <c r="SSH46" s="80"/>
      <c r="SSI46" s="80"/>
      <c r="SSJ46" s="80"/>
      <c r="SSK46" s="80"/>
      <c r="SSL46" s="80"/>
      <c r="SSM46" s="80"/>
      <c r="SSN46" s="80"/>
      <c r="SSO46" s="80"/>
      <c r="SSP46" s="80"/>
      <c r="SSQ46" s="80"/>
      <c r="SSR46" s="80"/>
      <c r="SSS46" s="80"/>
      <c r="SST46" s="80"/>
      <c r="SSU46" s="80"/>
      <c r="SSV46" s="80"/>
      <c r="SSW46" s="80"/>
      <c r="SSX46" s="80"/>
      <c r="SSY46" s="80"/>
      <c r="SSZ46" s="80"/>
      <c r="STA46" s="80"/>
      <c r="STB46" s="80"/>
      <c r="STC46" s="80"/>
      <c r="STD46" s="80"/>
      <c r="STE46" s="80"/>
      <c r="STF46" s="80"/>
      <c r="STG46" s="80"/>
      <c r="STH46" s="80"/>
      <c r="STI46" s="80"/>
      <c r="STJ46" s="80"/>
      <c r="STK46" s="80"/>
      <c r="STL46" s="80"/>
      <c r="STM46" s="80"/>
      <c r="STN46" s="80"/>
      <c r="STO46" s="80"/>
      <c r="STP46" s="80"/>
      <c r="STQ46" s="80"/>
      <c r="STR46" s="80"/>
      <c r="STS46" s="80"/>
      <c r="STT46" s="80"/>
      <c r="STU46" s="80"/>
      <c r="STV46" s="80"/>
      <c r="STW46" s="80"/>
      <c r="STX46" s="80"/>
      <c r="STY46" s="80"/>
      <c r="STZ46" s="80"/>
      <c r="SUA46" s="80"/>
      <c r="SUB46" s="80"/>
      <c r="SUC46" s="80"/>
      <c r="SUD46" s="80"/>
      <c r="SUE46" s="80"/>
      <c r="SUF46" s="80"/>
      <c r="SUG46" s="80"/>
      <c r="SUH46" s="80"/>
      <c r="SUI46" s="80"/>
      <c r="SUJ46" s="80"/>
      <c r="SUK46" s="80"/>
      <c r="SUL46" s="80"/>
      <c r="SUM46" s="80"/>
      <c r="SUN46" s="80"/>
      <c r="SUO46" s="80"/>
      <c r="SUP46" s="80"/>
      <c r="SUQ46" s="80"/>
      <c r="SUR46" s="80"/>
      <c r="SUS46" s="80"/>
      <c r="SUT46" s="80"/>
      <c r="SUU46" s="80"/>
      <c r="SUV46" s="80"/>
      <c r="SUW46" s="80"/>
      <c r="SUX46" s="80"/>
      <c r="SUY46" s="80"/>
      <c r="SUZ46" s="80"/>
      <c r="SVA46" s="80"/>
      <c r="SVB46" s="80"/>
      <c r="SVC46" s="80"/>
      <c r="SVD46" s="80"/>
      <c r="SVE46" s="80"/>
      <c r="SVF46" s="80"/>
      <c r="SVG46" s="80"/>
      <c r="SVH46" s="80"/>
      <c r="SVI46" s="80"/>
      <c r="SVJ46" s="80"/>
      <c r="SVK46" s="80"/>
      <c r="SVL46" s="80"/>
      <c r="SVM46" s="80"/>
      <c r="SVN46" s="80"/>
      <c r="SVO46" s="80"/>
      <c r="SVP46" s="80"/>
      <c r="SVQ46" s="80"/>
      <c r="SVR46" s="80"/>
      <c r="SVS46" s="80"/>
      <c r="SVT46" s="80"/>
      <c r="SVU46" s="80"/>
      <c r="SVV46" s="80"/>
      <c r="SVW46" s="80"/>
      <c r="SVX46" s="80"/>
      <c r="SVY46" s="80"/>
      <c r="SVZ46" s="80"/>
      <c r="SWA46" s="80"/>
      <c r="SWB46" s="80"/>
      <c r="SWC46" s="80"/>
      <c r="SWD46" s="80"/>
      <c r="SWE46" s="80"/>
      <c r="SWF46" s="80"/>
      <c r="SWG46" s="80"/>
      <c r="SWH46" s="80"/>
      <c r="SWI46" s="80"/>
      <c r="SWJ46" s="80"/>
      <c r="SWK46" s="80"/>
      <c r="SWL46" s="80"/>
      <c r="SWM46" s="80"/>
      <c r="SWN46" s="80"/>
      <c r="SWO46" s="80"/>
      <c r="SWP46" s="80"/>
      <c r="SWQ46" s="80"/>
      <c r="SWR46" s="80"/>
      <c r="SWS46" s="80"/>
      <c r="SWT46" s="80"/>
      <c r="SWU46" s="80"/>
      <c r="SWV46" s="80"/>
      <c r="SWW46" s="80"/>
      <c r="SWX46" s="80"/>
      <c r="SWY46" s="80"/>
      <c r="SWZ46" s="80"/>
      <c r="SXA46" s="80"/>
      <c r="SXB46" s="80"/>
      <c r="SXC46" s="80"/>
      <c r="SXD46" s="80"/>
      <c r="SXE46" s="80"/>
      <c r="SXF46" s="80"/>
      <c r="SXG46" s="80"/>
      <c r="SXH46" s="80"/>
      <c r="SXI46" s="80"/>
      <c r="SXJ46" s="80"/>
      <c r="SXK46" s="80"/>
      <c r="SXL46" s="80"/>
      <c r="SXM46" s="80"/>
      <c r="SXN46" s="80"/>
      <c r="SXO46" s="80"/>
      <c r="SXP46" s="80"/>
      <c r="SXQ46" s="80"/>
      <c r="SXR46" s="80"/>
      <c r="SXS46" s="80"/>
      <c r="SXT46" s="80"/>
      <c r="SXU46" s="80"/>
      <c r="SXV46" s="80"/>
      <c r="SXW46" s="80"/>
      <c r="SXX46" s="80"/>
      <c r="SXY46" s="80"/>
      <c r="SXZ46" s="80"/>
      <c r="SYA46" s="80"/>
      <c r="SYB46" s="80"/>
      <c r="SYC46" s="80"/>
      <c r="SYD46" s="80"/>
      <c r="SYE46" s="80"/>
      <c r="SYF46" s="80"/>
      <c r="SYG46" s="80"/>
      <c r="SYH46" s="80"/>
      <c r="SYI46" s="80"/>
      <c r="SYJ46" s="80"/>
      <c r="SYK46" s="80"/>
      <c r="SYL46" s="80"/>
      <c r="SYM46" s="80"/>
      <c r="SYN46" s="80"/>
      <c r="SYO46" s="80"/>
      <c r="SYP46" s="80"/>
      <c r="SYQ46" s="80"/>
      <c r="SYR46" s="80"/>
      <c r="SYS46" s="80"/>
      <c r="SYT46" s="80"/>
      <c r="SYU46" s="80"/>
      <c r="SYV46" s="80"/>
      <c r="SYW46" s="80"/>
      <c r="SYX46" s="80"/>
      <c r="SYY46" s="80"/>
      <c r="SYZ46" s="80"/>
      <c r="SZA46" s="80"/>
      <c r="SZB46" s="80"/>
      <c r="SZC46" s="80"/>
      <c r="SZD46" s="80"/>
      <c r="SZE46" s="80"/>
      <c r="SZF46" s="80"/>
      <c r="SZG46" s="80"/>
      <c r="SZH46" s="80"/>
      <c r="SZI46" s="80"/>
      <c r="SZJ46" s="80"/>
      <c r="SZK46" s="80"/>
      <c r="SZL46" s="80"/>
      <c r="SZM46" s="80"/>
      <c r="SZN46" s="80"/>
      <c r="SZO46" s="80"/>
      <c r="SZP46" s="80"/>
      <c r="SZQ46" s="80"/>
      <c r="SZR46" s="80"/>
      <c r="SZS46" s="80"/>
      <c r="SZT46" s="80"/>
      <c r="SZU46" s="80"/>
      <c r="SZV46" s="80"/>
      <c r="SZW46" s="80"/>
      <c r="SZX46" s="80"/>
      <c r="SZY46" s="80"/>
      <c r="SZZ46" s="80"/>
      <c r="TAA46" s="80"/>
      <c r="TAB46" s="80"/>
      <c r="TAC46" s="80"/>
      <c r="TAD46" s="80"/>
      <c r="TAE46" s="80"/>
      <c r="TAF46" s="80"/>
      <c r="TAG46" s="80"/>
      <c r="TAH46" s="80"/>
      <c r="TAI46" s="80"/>
      <c r="TAJ46" s="80"/>
      <c r="TAK46" s="80"/>
      <c r="TAL46" s="80"/>
      <c r="TAM46" s="80"/>
      <c r="TAN46" s="80"/>
      <c r="TAO46" s="80"/>
      <c r="TAP46" s="80"/>
      <c r="TAQ46" s="80"/>
      <c r="TAR46" s="80"/>
      <c r="TAS46" s="80"/>
      <c r="TAT46" s="80"/>
      <c r="TAU46" s="80"/>
      <c r="TAV46" s="80"/>
      <c r="TAW46" s="80"/>
      <c r="TAX46" s="80"/>
      <c r="TAY46" s="80"/>
      <c r="TAZ46" s="80"/>
      <c r="TBA46" s="80"/>
      <c r="TBB46" s="80"/>
      <c r="TBC46" s="80"/>
      <c r="TBD46" s="80"/>
      <c r="TBE46" s="80"/>
      <c r="TBF46" s="80"/>
      <c r="TBG46" s="80"/>
      <c r="TBH46" s="80"/>
      <c r="TBI46" s="80"/>
      <c r="TBJ46" s="80"/>
      <c r="TBK46" s="80"/>
      <c r="TBL46" s="80"/>
      <c r="TBM46" s="80"/>
      <c r="TBN46" s="80"/>
      <c r="TBO46" s="80"/>
      <c r="TBP46" s="80"/>
      <c r="TBQ46" s="80"/>
      <c r="TBR46" s="80"/>
      <c r="TBS46" s="80"/>
      <c r="TBT46" s="80"/>
      <c r="TBU46" s="80"/>
      <c r="TBV46" s="80"/>
      <c r="TBW46" s="80"/>
      <c r="TBX46" s="80"/>
      <c r="TBY46" s="80"/>
      <c r="TBZ46" s="80"/>
      <c r="TCA46" s="80"/>
      <c r="TCB46" s="80"/>
      <c r="TCC46" s="80"/>
      <c r="TCD46" s="80"/>
      <c r="TCE46" s="80"/>
      <c r="TCF46" s="80"/>
      <c r="TCG46" s="80"/>
      <c r="TCH46" s="80"/>
      <c r="TCI46" s="80"/>
      <c r="TCJ46" s="80"/>
      <c r="TCK46" s="80"/>
      <c r="TCL46" s="80"/>
      <c r="TCM46" s="80"/>
      <c r="TCN46" s="80"/>
      <c r="TCO46" s="80"/>
      <c r="TCP46" s="80"/>
      <c r="TCQ46" s="80"/>
      <c r="TCR46" s="80"/>
      <c r="TCS46" s="80"/>
      <c r="TCT46" s="80"/>
      <c r="TCU46" s="80"/>
      <c r="TCV46" s="80"/>
      <c r="TCW46" s="80"/>
      <c r="TCX46" s="80"/>
      <c r="TCY46" s="80"/>
      <c r="TCZ46" s="80"/>
      <c r="TDA46" s="80"/>
      <c r="TDB46" s="80"/>
      <c r="TDC46" s="80"/>
      <c r="TDD46" s="80"/>
      <c r="TDE46" s="80"/>
      <c r="TDF46" s="80"/>
      <c r="TDG46" s="80"/>
      <c r="TDH46" s="80"/>
      <c r="TDI46" s="80"/>
      <c r="TDJ46" s="80"/>
      <c r="TDK46" s="80"/>
      <c r="TDL46" s="80"/>
      <c r="TDM46" s="80"/>
      <c r="TDN46" s="80"/>
      <c r="TDO46" s="80"/>
      <c r="TDP46" s="80"/>
      <c r="TDQ46" s="80"/>
      <c r="TDR46" s="80"/>
      <c r="TDS46" s="80"/>
      <c r="TDT46" s="80"/>
      <c r="TDU46" s="80"/>
      <c r="TDV46" s="80"/>
      <c r="TDW46" s="80"/>
      <c r="TDX46" s="80"/>
      <c r="TDY46" s="80"/>
      <c r="TDZ46" s="80"/>
      <c r="TEA46" s="80"/>
      <c r="TEB46" s="80"/>
      <c r="TEC46" s="80"/>
      <c r="TED46" s="80"/>
      <c r="TEE46" s="80"/>
      <c r="TEF46" s="80"/>
      <c r="TEG46" s="80"/>
      <c r="TEH46" s="80"/>
      <c r="TEI46" s="80"/>
      <c r="TEJ46" s="80"/>
      <c r="TEK46" s="80"/>
      <c r="TEL46" s="80"/>
      <c r="TEM46" s="80"/>
      <c r="TEN46" s="80"/>
      <c r="TEO46" s="80"/>
      <c r="TEP46" s="80"/>
      <c r="TEQ46" s="80"/>
      <c r="TER46" s="80"/>
      <c r="TES46" s="80"/>
      <c r="TET46" s="80"/>
      <c r="TEU46" s="80"/>
      <c r="TEV46" s="80"/>
      <c r="TEW46" s="80"/>
      <c r="TEX46" s="80"/>
      <c r="TEY46" s="80"/>
      <c r="TEZ46" s="80"/>
      <c r="TFA46" s="80"/>
      <c r="TFB46" s="80"/>
      <c r="TFC46" s="80"/>
      <c r="TFD46" s="80"/>
      <c r="TFE46" s="80"/>
      <c r="TFF46" s="80"/>
      <c r="TFG46" s="80"/>
      <c r="TFH46" s="80"/>
      <c r="TFI46" s="80"/>
      <c r="TFJ46" s="80"/>
      <c r="TFK46" s="80"/>
      <c r="TFL46" s="80"/>
      <c r="TFM46" s="80"/>
      <c r="TFN46" s="80"/>
      <c r="TFO46" s="80"/>
      <c r="TFP46" s="80"/>
      <c r="TFQ46" s="80"/>
      <c r="TFR46" s="80"/>
      <c r="TFS46" s="80"/>
      <c r="TFT46" s="80"/>
      <c r="TFU46" s="80"/>
      <c r="TFV46" s="80"/>
      <c r="TFW46" s="80"/>
      <c r="TFX46" s="80"/>
      <c r="TFY46" s="80"/>
      <c r="TFZ46" s="80"/>
      <c r="TGA46" s="80"/>
      <c r="TGB46" s="80"/>
      <c r="TGC46" s="80"/>
      <c r="TGD46" s="80"/>
      <c r="TGE46" s="80"/>
      <c r="TGF46" s="80"/>
      <c r="TGG46" s="80"/>
      <c r="TGH46" s="80"/>
      <c r="TGI46" s="80"/>
      <c r="TGJ46" s="80"/>
      <c r="TGK46" s="80"/>
      <c r="TGL46" s="80"/>
      <c r="TGM46" s="80"/>
      <c r="TGN46" s="80"/>
      <c r="TGO46" s="80"/>
      <c r="TGP46" s="80"/>
      <c r="TGQ46" s="80"/>
      <c r="TGR46" s="80"/>
      <c r="TGS46" s="80"/>
      <c r="TGT46" s="80"/>
      <c r="TGU46" s="80"/>
      <c r="TGV46" s="80"/>
      <c r="TGW46" s="80"/>
      <c r="TGX46" s="80"/>
      <c r="TGY46" s="80"/>
      <c r="TGZ46" s="80"/>
      <c r="THA46" s="80"/>
      <c r="THB46" s="80"/>
      <c r="THC46" s="80"/>
      <c r="THD46" s="80"/>
      <c r="THE46" s="80"/>
      <c r="THF46" s="80"/>
      <c r="THG46" s="80"/>
      <c r="THH46" s="80"/>
      <c r="THI46" s="80"/>
      <c r="THJ46" s="80"/>
      <c r="THK46" s="80"/>
      <c r="THL46" s="80"/>
      <c r="THM46" s="80"/>
      <c r="THN46" s="80"/>
      <c r="THO46" s="80"/>
      <c r="THP46" s="80"/>
      <c r="THQ46" s="80"/>
      <c r="THR46" s="80"/>
      <c r="THS46" s="80"/>
      <c r="THT46" s="80"/>
      <c r="THU46" s="80"/>
      <c r="THV46" s="80"/>
      <c r="THW46" s="80"/>
      <c r="THX46" s="80"/>
      <c r="THY46" s="80"/>
      <c r="THZ46" s="80"/>
      <c r="TIA46" s="80"/>
      <c r="TIB46" s="80"/>
      <c r="TIC46" s="80"/>
      <c r="TID46" s="80"/>
      <c r="TIE46" s="80"/>
      <c r="TIF46" s="80"/>
      <c r="TIG46" s="80"/>
      <c r="TIH46" s="80"/>
      <c r="TII46" s="80"/>
      <c r="TIJ46" s="80"/>
      <c r="TIK46" s="80"/>
      <c r="TIL46" s="80"/>
      <c r="TIM46" s="80"/>
      <c r="TIN46" s="80"/>
      <c r="TIO46" s="80"/>
      <c r="TIP46" s="80"/>
      <c r="TIQ46" s="80"/>
      <c r="TIR46" s="80"/>
      <c r="TIS46" s="80"/>
      <c r="TIT46" s="80"/>
      <c r="TIU46" s="80"/>
      <c r="TIV46" s="80"/>
      <c r="TIW46" s="80"/>
      <c r="TIX46" s="80"/>
      <c r="TIY46" s="80"/>
      <c r="TIZ46" s="80"/>
      <c r="TJA46" s="80"/>
      <c r="TJB46" s="80"/>
      <c r="TJC46" s="80"/>
      <c r="TJD46" s="80"/>
      <c r="TJE46" s="80"/>
      <c r="TJF46" s="80"/>
      <c r="TJG46" s="80"/>
      <c r="TJH46" s="80"/>
      <c r="TJI46" s="80"/>
      <c r="TJJ46" s="80"/>
      <c r="TJK46" s="80"/>
      <c r="TJL46" s="80"/>
      <c r="TJM46" s="80"/>
      <c r="TJN46" s="80"/>
      <c r="TJO46" s="80"/>
      <c r="TJP46" s="80"/>
      <c r="TJQ46" s="80"/>
      <c r="TJR46" s="80"/>
      <c r="TJS46" s="80"/>
      <c r="TJT46" s="80"/>
      <c r="TJU46" s="80"/>
      <c r="TJV46" s="80"/>
      <c r="TJW46" s="80"/>
      <c r="TJX46" s="80"/>
      <c r="TJY46" s="80"/>
      <c r="TJZ46" s="80"/>
      <c r="TKA46" s="80"/>
      <c r="TKB46" s="80"/>
      <c r="TKC46" s="80"/>
      <c r="TKD46" s="80"/>
      <c r="TKE46" s="80"/>
      <c r="TKF46" s="80"/>
      <c r="TKG46" s="80"/>
      <c r="TKH46" s="80"/>
      <c r="TKI46" s="80"/>
      <c r="TKJ46" s="80"/>
      <c r="TKK46" s="80"/>
      <c r="TKL46" s="80"/>
      <c r="TKM46" s="80"/>
      <c r="TKN46" s="80"/>
      <c r="TKO46" s="80"/>
      <c r="TKP46" s="80"/>
      <c r="TKQ46" s="80"/>
      <c r="TKR46" s="80"/>
      <c r="TKS46" s="80"/>
      <c r="TKT46" s="80"/>
      <c r="TKU46" s="80"/>
      <c r="TKV46" s="80"/>
      <c r="TKW46" s="80"/>
      <c r="TKX46" s="80"/>
      <c r="TKY46" s="80"/>
      <c r="TKZ46" s="80"/>
      <c r="TLA46" s="80"/>
      <c r="TLB46" s="80"/>
      <c r="TLC46" s="80"/>
      <c r="TLD46" s="80"/>
      <c r="TLE46" s="80"/>
      <c r="TLF46" s="80"/>
      <c r="TLG46" s="80"/>
      <c r="TLH46" s="80"/>
      <c r="TLI46" s="80"/>
      <c r="TLJ46" s="80"/>
      <c r="TLK46" s="80"/>
      <c r="TLL46" s="80"/>
      <c r="TLM46" s="80"/>
      <c r="TLN46" s="80"/>
      <c r="TLO46" s="80"/>
      <c r="TLP46" s="80"/>
      <c r="TLQ46" s="80"/>
      <c r="TLR46" s="80"/>
      <c r="TLS46" s="80"/>
      <c r="TLT46" s="80"/>
      <c r="TLU46" s="80"/>
      <c r="TLV46" s="80"/>
      <c r="TLW46" s="80"/>
      <c r="TLX46" s="80"/>
      <c r="TLY46" s="80"/>
      <c r="TLZ46" s="80"/>
      <c r="TMA46" s="80"/>
      <c r="TMB46" s="80"/>
      <c r="TMC46" s="80"/>
      <c r="TMD46" s="80"/>
      <c r="TME46" s="80"/>
      <c r="TMF46" s="80"/>
      <c r="TMG46" s="80"/>
      <c r="TMH46" s="80"/>
      <c r="TMI46" s="80"/>
      <c r="TMJ46" s="80"/>
      <c r="TMK46" s="80"/>
      <c r="TML46" s="80"/>
      <c r="TMM46" s="80"/>
      <c r="TMN46" s="80"/>
      <c r="TMO46" s="80"/>
      <c r="TMP46" s="80"/>
      <c r="TMQ46" s="80"/>
      <c r="TMR46" s="80"/>
      <c r="TMS46" s="80"/>
      <c r="TMT46" s="80"/>
      <c r="TMU46" s="80"/>
      <c r="TMV46" s="80"/>
      <c r="TMW46" s="80"/>
      <c r="TMX46" s="80"/>
      <c r="TMY46" s="80"/>
      <c r="TMZ46" s="80"/>
      <c r="TNA46" s="80"/>
      <c r="TNB46" s="80"/>
      <c r="TNC46" s="80"/>
      <c r="TND46" s="80"/>
      <c r="TNE46" s="80"/>
      <c r="TNF46" s="80"/>
      <c r="TNG46" s="80"/>
      <c r="TNH46" s="80"/>
      <c r="TNI46" s="80"/>
      <c r="TNJ46" s="80"/>
      <c r="TNK46" s="80"/>
      <c r="TNL46" s="80"/>
      <c r="TNM46" s="80"/>
      <c r="TNN46" s="80"/>
      <c r="TNO46" s="80"/>
      <c r="TNP46" s="80"/>
      <c r="TNQ46" s="80"/>
      <c r="TNR46" s="80"/>
      <c r="TNS46" s="80"/>
      <c r="TNT46" s="80"/>
      <c r="TNU46" s="80"/>
      <c r="TNV46" s="80"/>
      <c r="TNW46" s="80"/>
      <c r="TNX46" s="80"/>
      <c r="TNY46" s="80"/>
      <c r="TNZ46" s="80"/>
      <c r="TOA46" s="80"/>
      <c r="TOB46" s="80"/>
      <c r="TOC46" s="80"/>
      <c r="TOD46" s="80"/>
      <c r="TOE46" s="80"/>
      <c r="TOF46" s="80"/>
      <c r="TOG46" s="80"/>
      <c r="TOH46" s="80"/>
      <c r="TOI46" s="80"/>
      <c r="TOJ46" s="80"/>
      <c r="TOK46" s="80"/>
      <c r="TOL46" s="80"/>
      <c r="TOM46" s="80"/>
      <c r="TON46" s="80"/>
      <c r="TOO46" s="80"/>
      <c r="TOP46" s="80"/>
      <c r="TOQ46" s="80"/>
      <c r="TOR46" s="80"/>
      <c r="TOS46" s="80"/>
      <c r="TOT46" s="80"/>
      <c r="TOU46" s="80"/>
      <c r="TOV46" s="80"/>
      <c r="TOW46" s="80"/>
      <c r="TOX46" s="80"/>
      <c r="TOY46" s="80"/>
      <c r="TOZ46" s="80"/>
      <c r="TPA46" s="80"/>
      <c r="TPB46" s="80"/>
      <c r="TPC46" s="80"/>
      <c r="TPD46" s="80"/>
      <c r="TPE46" s="80"/>
      <c r="TPF46" s="80"/>
      <c r="TPG46" s="80"/>
      <c r="TPH46" s="80"/>
      <c r="TPI46" s="80"/>
      <c r="TPJ46" s="80"/>
      <c r="TPK46" s="80"/>
      <c r="TPL46" s="80"/>
      <c r="TPM46" s="80"/>
      <c r="TPN46" s="80"/>
      <c r="TPO46" s="80"/>
      <c r="TPP46" s="80"/>
      <c r="TPQ46" s="80"/>
      <c r="TPR46" s="80"/>
      <c r="TPS46" s="80"/>
      <c r="TPT46" s="80"/>
      <c r="TPU46" s="80"/>
      <c r="TPV46" s="80"/>
      <c r="TPW46" s="80"/>
      <c r="TPX46" s="80"/>
      <c r="TPY46" s="80"/>
      <c r="TPZ46" s="80"/>
      <c r="TQA46" s="80"/>
      <c r="TQB46" s="80"/>
      <c r="TQC46" s="80"/>
      <c r="TQD46" s="80"/>
      <c r="TQE46" s="80"/>
      <c r="TQF46" s="80"/>
      <c r="TQG46" s="80"/>
      <c r="TQH46" s="80"/>
      <c r="TQI46" s="80"/>
      <c r="TQJ46" s="80"/>
      <c r="TQK46" s="80"/>
      <c r="TQL46" s="80"/>
      <c r="TQM46" s="80"/>
      <c r="TQN46" s="80"/>
      <c r="TQO46" s="80"/>
      <c r="TQP46" s="80"/>
      <c r="TQQ46" s="80"/>
      <c r="TQR46" s="80"/>
      <c r="TQS46" s="80"/>
      <c r="TQT46" s="80"/>
      <c r="TQU46" s="80"/>
      <c r="TQV46" s="80"/>
      <c r="TQW46" s="80"/>
      <c r="TQX46" s="80"/>
      <c r="TQY46" s="80"/>
      <c r="TQZ46" s="80"/>
      <c r="TRA46" s="80"/>
      <c r="TRB46" s="80"/>
      <c r="TRC46" s="80"/>
      <c r="TRD46" s="80"/>
      <c r="TRE46" s="80"/>
      <c r="TRF46" s="80"/>
      <c r="TRG46" s="80"/>
      <c r="TRH46" s="80"/>
      <c r="TRI46" s="80"/>
      <c r="TRJ46" s="80"/>
      <c r="TRK46" s="80"/>
      <c r="TRL46" s="80"/>
      <c r="TRM46" s="80"/>
      <c r="TRN46" s="80"/>
      <c r="TRO46" s="80"/>
      <c r="TRP46" s="80"/>
      <c r="TRQ46" s="80"/>
      <c r="TRR46" s="80"/>
      <c r="TRS46" s="80"/>
      <c r="TRT46" s="80"/>
      <c r="TRU46" s="80"/>
      <c r="TRV46" s="80"/>
      <c r="TRW46" s="80"/>
      <c r="TRX46" s="80"/>
      <c r="TRY46" s="80"/>
      <c r="TRZ46" s="80"/>
      <c r="TSA46" s="80"/>
      <c r="TSB46" s="80"/>
      <c r="TSC46" s="80"/>
      <c r="TSD46" s="80"/>
      <c r="TSE46" s="80"/>
      <c r="TSF46" s="80"/>
      <c r="TSG46" s="80"/>
      <c r="TSH46" s="80"/>
      <c r="TSI46" s="80"/>
      <c r="TSJ46" s="80"/>
      <c r="TSK46" s="80"/>
      <c r="TSL46" s="80"/>
      <c r="TSM46" s="80"/>
      <c r="TSN46" s="80"/>
      <c r="TSO46" s="80"/>
      <c r="TSP46" s="80"/>
      <c r="TSQ46" s="80"/>
      <c r="TSR46" s="80"/>
      <c r="TSS46" s="80"/>
      <c r="TST46" s="80"/>
      <c r="TSU46" s="80"/>
      <c r="TSV46" s="80"/>
      <c r="TSW46" s="80"/>
      <c r="TSX46" s="80"/>
      <c r="TSY46" s="80"/>
      <c r="TSZ46" s="80"/>
      <c r="TTA46" s="80"/>
      <c r="TTB46" s="80"/>
      <c r="TTC46" s="80"/>
      <c r="TTD46" s="80"/>
      <c r="TTE46" s="80"/>
      <c r="TTF46" s="80"/>
      <c r="TTG46" s="80"/>
      <c r="TTH46" s="80"/>
      <c r="TTI46" s="80"/>
      <c r="TTJ46" s="80"/>
      <c r="TTK46" s="80"/>
      <c r="TTL46" s="80"/>
      <c r="TTM46" s="80"/>
      <c r="TTN46" s="80"/>
      <c r="TTO46" s="80"/>
      <c r="TTP46" s="80"/>
      <c r="TTQ46" s="80"/>
      <c r="TTR46" s="80"/>
      <c r="TTS46" s="80"/>
      <c r="TTT46" s="80"/>
      <c r="TTU46" s="80"/>
      <c r="TTV46" s="80"/>
      <c r="TTW46" s="80"/>
      <c r="TTX46" s="80"/>
      <c r="TTY46" s="80"/>
      <c r="TTZ46" s="80"/>
      <c r="TUA46" s="80"/>
      <c r="TUB46" s="80"/>
      <c r="TUC46" s="80"/>
      <c r="TUD46" s="80"/>
      <c r="TUE46" s="80"/>
      <c r="TUF46" s="80"/>
      <c r="TUG46" s="80"/>
      <c r="TUH46" s="80"/>
      <c r="TUI46" s="80"/>
      <c r="TUJ46" s="80"/>
      <c r="TUK46" s="80"/>
      <c r="TUL46" s="80"/>
      <c r="TUM46" s="80"/>
      <c r="TUN46" s="80"/>
      <c r="TUO46" s="80"/>
      <c r="TUP46" s="80"/>
      <c r="TUQ46" s="80"/>
      <c r="TUR46" s="80"/>
      <c r="TUS46" s="80"/>
      <c r="TUT46" s="80"/>
      <c r="TUU46" s="80"/>
      <c r="TUV46" s="80"/>
      <c r="TUW46" s="80"/>
      <c r="TUX46" s="80"/>
      <c r="TUY46" s="80"/>
      <c r="TUZ46" s="80"/>
      <c r="TVA46" s="80"/>
      <c r="TVB46" s="80"/>
      <c r="TVC46" s="80"/>
      <c r="TVD46" s="80"/>
      <c r="TVE46" s="80"/>
      <c r="TVF46" s="80"/>
      <c r="TVG46" s="80"/>
      <c r="TVH46" s="80"/>
      <c r="TVI46" s="80"/>
      <c r="TVJ46" s="80"/>
      <c r="TVK46" s="80"/>
      <c r="TVL46" s="80"/>
      <c r="TVM46" s="80"/>
      <c r="TVN46" s="80"/>
      <c r="TVO46" s="80"/>
      <c r="TVP46" s="80"/>
      <c r="TVQ46" s="80"/>
      <c r="TVR46" s="80"/>
      <c r="TVS46" s="80"/>
      <c r="TVT46" s="80"/>
      <c r="TVU46" s="80"/>
      <c r="TVV46" s="80"/>
      <c r="TVW46" s="80"/>
      <c r="TVX46" s="80"/>
      <c r="TVY46" s="80"/>
      <c r="TVZ46" s="80"/>
      <c r="TWA46" s="80"/>
      <c r="TWB46" s="80"/>
      <c r="TWC46" s="80"/>
      <c r="TWD46" s="80"/>
      <c r="TWE46" s="80"/>
      <c r="TWF46" s="80"/>
      <c r="TWG46" s="80"/>
      <c r="TWH46" s="80"/>
      <c r="TWI46" s="80"/>
      <c r="TWJ46" s="80"/>
      <c r="TWK46" s="80"/>
      <c r="TWL46" s="80"/>
      <c r="TWM46" s="80"/>
      <c r="TWN46" s="80"/>
      <c r="TWO46" s="80"/>
      <c r="TWP46" s="80"/>
      <c r="TWQ46" s="80"/>
      <c r="TWR46" s="80"/>
      <c r="TWS46" s="80"/>
      <c r="TWT46" s="80"/>
      <c r="TWU46" s="80"/>
      <c r="TWV46" s="80"/>
      <c r="TWW46" s="80"/>
      <c r="TWX46" s="80"/>
      <c r="TWY46" s="80"/>
      <c r="TWZ46" s="80"/>
      <c r="TXA46" s="80"/>
      <c r="TXB46" s="80"/>
      <c r="TXC46" s="80"/>
      <c r="TXD46" s="80"/>
      <c r="TXE46" s="80"/>
      <c r="TXF46" s="80"/>
      <c r="TXG46" s="80"/>
      <c r="TXH46" s="80"/>
      <c r="TXI46" s="80"/>
      <c r="TXJ46" s="80"/>
      <c r="TXK46" s="80"/>
      <c r="TXL46" s="80"/>
      <c r="TXM46" s="80"/>
      <c r="TXN46" s="80"/>
      <c r="TXO46" s="80"/>
      <c r="TXP46" s="80"/>
      <c r="TXQ46" s="80"/>
      <c r="TXR46" s="80"/>
      <c r="TXS46" s="80"/>
      <c r="TXT46" s="80"/>
      <c r="TXU46" s="80"/>
      <c r="TXV46" s="80"/>
      <c r="TXW46" s="80"/>
      <c r="TXX46" s="80"/>
      <c r="TXY46" s="80"/>
      <c r="TXZ46" s="80"/>
      <c r="TYA46" s="80"/>
      <c r="TYB46" s="80"/>
      <c r="TYC46" s="80"/>
      <c r="TYD46" s="80"/>
      <c r="TYE46" s="80"/>
      <c r="TYF46" s="80"/>
      <c r="TYG46" s="80"/>
      <c r="TYH46" s="80"/>
      <c r="TYI46" s="80"/>
      <c r="TYJ46" s="80"/>
      <c r="TYK46" s="80"/>
      <c r="TYL46" s="80"/>
      <c r="TYM46" s="80"/>
      <c r="TYN46" s="80"/>
      <c r="TYO46" s="80"/>
      <c r="TYP46" s="80"/>
      <c r="TYQ46" s="80"/>
      <c r="TYR46" s="80"/>
      <c r="TYS46" s="80"/>
      <c r="TYT46" s="80"/>
      <c r="TYU46" s="80"/>
      <c r="TYV46" s="80"/>
      <c r="TYW46" s="80"/>
      <c r="TYX46" s="80"/>
      <c r="TYY46" s="80"/>
      <c r="TYZ46" s="80"/>
      <c r="TZA46" s="80"/>
      <c r="TZB46" s="80"/>
      <c r="TZC46" s="80"/>
      <c r="TZD46" s="80"/>
      <c r="TZE46" s="80"/>
      <c r="TZF46" s="80"/>
      <c r="TZG46" s="80"/>
      <c r="TZH46" s="80"/>
      <c r="TZI46" s="80"/>
      <c r="TZJ46" s="80"/>
      <c r="TZK46" s="80"/>
      <c r="TZL46" s="80"/>
      <c r="TZM46" s="80"/>
      <c r="TZN46" s="80"/>
      <c r="TZO46" s="80"/>
      <c r="TZP46" s="80"/>
      <c r="TZQ46" s="80"/>
      <c r="TZR46" s="80"/>
      <c r="TZS46" s="80"/>
      <c r="TZT46" s="80"/>
      <c r="TZU46" s="80"/>
      <c r="TZV46" s="80"/>
      <c r="TZW46" s="80"/>
      <c r="TZX46" s="80"/>
      <c r="TZY46" s="80"/>
      <c r="TZZ46" s="80"/>
      <c r="UAA46" s="80"/>
      <c r="UAB46" s="80"/>
      <c r="UAC46" s="80"/>
      <c r="UAD46" s="80"/>
      <c r="UAE46" s="80"/>
      <c r="UAF46" s="80"/>
      <c r="UAG46" s="80"/>
      <c r="UAH46" s="80"/>
      <c r="UAI46" s="80"/>
      <c r="UAJ46" s="80"/>
      <c r="UAK46" s="80"/>
      <c r="UAL46" s="80"/>
      <c r="UAM46" s="80"/>
      <c r="UAN46" s="80"/>
      <c r="UAO46" s="80"/>
      <c r="UAP46" s="80"/>
      <c r="UAQ46" s="80"/>
      <c r="UAR46" s="80"/>
      <c r="UAS46" s="80"/>
      <c r="UAT46" s="80"/>
      <c r="UAU46" s="80"/>
      <c r="UAV46" s="80"/>
      <c r="UAW46" s="80"/>
      <c r="UAX46" s="80"/>
      <c r="UAY46" s="80"/>
      <c r="UAZ46" s="80"/>
      <c r="UBA46" s="80"/>
      <c r="UBB46" s="80"/>
      <c r="UBC46" s="80"/>
      <c r="UBD46" s="80"/>
      <c r="UBE46" s="80"/>
      <c r="UBF46" s="80"/>
      <c r="UBG46" s="80"/>
      <c r="UBH46" s="80"/>
      <c r="UBI46" s="80"/>
      <c r="UBJ46" s="80"/>
      <c r="UBK46" s="80"/>
      <c r="UBL46" s="80"/>
      <c r="UBM46" s="80"/>
      <c r="UBN46" s="80"/>
      <c r="UBO46" s="80"/>
      <c r="UBP46" s="80"/>
      <c r="UBQ46" s="80"/>
      <c r="UBR46" s="80"/>
      <c r="UBS46" s="80"/>
      <c r="UBT46" s="80"/>
      <c r="UBU46" s="80"/>
      <c r="UBV46" s="80"/>
      <c r="UBW46" s="80"/>
      <c r="UBX46" s="80"/>
      <c r="UBY46" s="80"/>
      <c r="UBZ46" s="80"/>
      <c r="UCA46" s="80"/>
      <c r="UCB46" s="80"/>
      <c r="UCC46" s="80"/>
      <c r="UCD46" s="80"/>
      <c r="UCE46" s="80"/>
      <c r="UCF46" s="80"/>
      <c r="UCG46" s="80"/>
      <c r="UCH46" s="80"/>
      <c r="UCI46" s="80"/>
      <c r="UCJ46" s="80"/>
      <c r="UCK46" s="80"/>
      <c r="UCL46" s="80"/>
      <c r="UCM46" s="80"/>
      <c r="UCN46" s="80"/>
      <c r="UCO46" s="80"/>
      <c r="UCP46" s="80"/>
      <c r="UCQ46" s="80"/>
      <c r="UCR46" s="80"/>
      <c r="UCS46" s="80"/>
      <c r="UCT46" s="80"/>
      <c r="UCU46" s="80"/>
      <c r="UCV46" s="80"/>
      <c r="UCW46" s="80"/>
      <c r="UCX46" s="80"/>
      <c r="UCY46" s="80"/>
      <c r="UCZ46" s="80"/>
      <c r="UDA46" s="80"/>
      <c r="UDB46" s="80"/>
      <c r="UDC46" s="80"/>
      <c r="UDD46" s="80"/>
      <c r="UDE46" s="80"/>
      <c r="UDF46" s="80"/>
      <c r="UDG46" s="80"/>
      <c r="UDH46" s="80"/>
      <c r="UDI46" s="80"/>
      <c r="UDJ46" s="80"/>
      <c r="UDK46" s="80"/>
      <c r="UDL46" s="80"/>
      <c r="UDM46" s="80"/>
      <c r="UDN46" s="80"/>
      <c r="UDO46" s="80"/>
      <c r="UDP46" s="80"/>
      <c r="UDQ46" s="80"/>
      <c r="UDR46" s="80"/>
      <c r="UDS46" s="80"/>
      <c r="UDT46" s="80"/>
      <c r="UDU46" s="80"/>
      <c r="UDV46" s="80"/>
      <c r="UDW46" s="80"/>
      <c r="UDX46" s="80"/>
      <c r="UDY46" s="80"/>
      <c r="UDZ46" s="80"/>
      <c r="UEA46" s="80"/>
      <c r="UEB46" s="80"/>
      <c r="UEC46" s="80"/>
      <c r="UED46" s="80"/>
      <c r="UEE46" s="80"/>
      <c r="UEF46" s="80"/>
      <c r="UEG46" s="80"/>
      <c r="UEH46" s="80"/>
      <c r="UEI46" s="80"/>
      <c r="UEJ46" s="80"/>
      <c r="UEK46" s="80"/>
      <c r="UEL46" s="80"/>
      <c r="UEM46" s="80"/>
      <c r="UEN46" s="80"/>
      <c r="UEO46" s="80"/>
      <c r="UEP46" s="80"/>
      <c r="UEQ46" s="80"/>
      <c r="UER46" s="80"/>
      <c r="UES46" s="80"/>
      <c r="UET46" s="80"/>
      <c r="UEU46" s="80"/>
      <c r="UEV46" s="80"/>
      <c r="UEW46" s="80"/>
      <c r="UEX46" s="80"/>
      <c r="UEY46" s="80"/>
      <c r="UEZ46" s="80"/>
      <c r="UFA46" s="80"/>
      <c r="UFB46" s="80"/>
      <c r="UFC46" s="80"/>
      <c r="UFD46" s="80"/>
      <c r="UFE46" s="80"/>
      <c r="UFF46" s="80"/>
      <c r="UFG46" s="80"/>
      <c r="UFH46" s="80"/>
      <c r="UFI46" s="80"/>
      <c r="UFJ46" s="80"/>
      <c r="UFK46" s="80"/>
      <c r="UFL46" s="80"/>
      <c r="UFM46" s="80"/>
      <c r="UFN46" s="80"/>
      <c r="UFO46" s="80"/>
      <c r="UFP46" s="80"/>
      <c r="UFQ46" s="80"/>
      <c r="UFR46" s="80"/>
      <c r="UFS46" s="80"/>
      <c r="UFT46" s="80"/>
      <c r="UFU46" s="80"/>
      <c r="UFV46" s="80"/>
      <c r="UFW46" s="80"/>
      <c r="UFX46" s="80"/>
      <c r="UFY46" s="80"/>
      <c r="UFZ46" s="80"/>
      <c r="UGA46" s="80"/>
      <c r="UGB46" s="80"/>
      <c r="UGC46" s="80"/>
      <c r="UGD46" s="80"/>
      <c r="UGE46" s="80"/>
      <c r="UGF46" s="80"/>
      <c r="UGG46" s="80"/>
      <c r="UGH46" s="80"/>
      <c r="UGI46" s="80"/>
      <c r="UGJ46" s="80"/>
      <c r="UGK46" s="80"/>
      <c r="UGL46" s="80"/>
      <c r="UGM46" s="80"/>
      <c r="UGN46" s="80"/>
      <c r="UGO46" s="80"/>
      <c r="UGP46" s="80"/>
      <c r="UGQ46" s="80"/>
      <c r="UGR46" s="80"/>
      <c r="UGS46" s="80"/>
      <c r="UGT46" s="80"/>
      <c r="UGU46" s="80"/>
      <c r="UGV46" s="80"/>
      <c r="UGW46" s="80"/>
      <c r="UGX46" s="80"/>
      <c r="UGY46" s="80"/>
      <c r="UGZ46" s="80"/>
      <c r="UHA46" s="80"/>
      <c r="UHB46" s="80"/>
      <c r="UHC46" s="80"/>
      <c r="UHD46" s="80"/>
      <c r="UHE46" s="80"/>
      <c r="UHF46" s="80"/>
      <c r="UHG46" s="80"/>
      <c r="UHH46" s="80"/>
      <c r="UHI46" s="80"/>
      <c r="UHJ46" s="80"/>
      <c r="UHK46" s="80"/>
      <c r="UHL46" s="80"/>
      <c r="UHM46" s="80"/>
      <c r="UHN46" s="80"/>
      <c r="UHO46" s="80"/>
      <c r="UHP46" s="80"/>
      <c r="UHQ46" s="80"/>
      <c r="UHR46" s="80"/>
      <c r="UHS46" s="80"/>
      <c r="UHT46" s="80"/>
      <c r="UHU46" s="80"/>
      <c r="UHV46" s="80"/>
      <c r="UHW46" s="80"/>
      <c r="UHX46" s="80"/>
      <c r="UHY46" s="80"/>
      <c r="UHZ46" s="80"/>
      <c r="UIA46" s="80"/>
      <c r="UIB46" s="80"/>
      <c r="UIC46" s="80"/>
      <c r="UID46" s="80"/>
      <c r="UIE46" s="80"/>
      <c r="UIF46" s="80"/>
      <c r="UIG46" s="80"/>
      <c r="UIH46" s="80"/>
      <c r="UII46" s="80"/>
      <c r="UIJ46" s="80"/>
      <c r="UIK46" s="80"/>
      <c r="UIL46" s="80"/>
      <c r="UIM46" s="80"/>
      <c r="UIN46" s="80"/>
      <c r="UIO46" s="80"/>
      <c r="UIP46" s="80"/>
      <c r="UIQ46" s="80"/>
      <c r="UIR46" s="80"/>
      <c r="UIS46" s="80"/>
      <c r="UIT46" s="80"/>
      <c r="UIU46" s="80"/>
      <c r="UIV46" s="80"/>
      <c r="UIW46" s="80"/>
      <c r="UIX46" s="80"/>
      <c r="UIY46" s="80"/>
      <c r="UIZ46" s="80"/>
      <c r="UJA46" s="80"/>
      <c r="UJB46" s="80"/>
      <c r="UJC46" s="80"/>
      <c r="UJD46" s="80"/>
      <c r="UJE46" s="80"/>
      <c r="UJF46" s="80"/>
      <c r="UJG46" s="80"/>
      <c r="UJH46" s="80"/>
      <c r="UJI46" s="80"/>
      <c r="UJJ46" s="80"/>
      <c r="UJK46" s="80"/>
      <c r="UJL46" s="80"/>
      <c r="UJM46" s="80"/>
      <c r="UJN46" s="80"/>
      <c r="UJO46" s="80"/>
      <c r="UJP46" s="80"/>
      <c r="UJQ46" s="80"/>
      <c r="UJR46" s="80"/>
      <c r="UJS46" s="80"/>
      <c r="UJT46" s="80"/>
      <c r="UJU46" s="80"/>
      <c r="UJV46" s="80"/>
      <c r="UJW46" s="80"/>
      <c r="UJX46" s="80"/>
      <c r="UJY46" s="80"/>
      <c r="UJZ46" s="80"/>
      <c r="UKA46" s="80"/>
      <c r="UKB46" s="80"/>
      <c r="UKC46" s="80"/>
      <c r="UKD46" s="80"/>
      <c r="UKE46" s="80"/>
      <c r="UKF46" s="80"/>
      <c r="UKG46" s="80"/>
      <c r="UKH46" s="80"/>
      <c r="UKI46" s="80"/>
      <c r="UKJ46" s="80"/>
      <c r="UKK46" s="80"/>
      <c r="UKL46" s="80"/>
      <c r="UKM46" s="80"/>
      <c r="UKN46" s="80"/>
      <c r="UKO46" s="80"/>
      <c r="UKP46" s="80"/>
      <c r="UKQ46" s="80"/>
      <c r="UKR46" s="80"/>
      <c r="UKS46" s="80"/>
      <c r="UKT46" s="80"/>
      <c r="UKU46" s="80"/>
      <c r="UKV46" s="80"/>
      <c r="UKW46" s="80"/>
      <c r="UKX46" s="80"/>
      <c r="UKY46" s="80"/>
      <c r="UKZ46" s="80"/>
      <c r="ULA46" s="80"/>
      <c r="ULB46" s="80"/>
      <c r="ULC46" s="80"/>
      <c r="ULD46" s="80"/>
      <c r="ULE46" s="80"/>
      <c r="ULF46" s="80"/>
      <c r="ULG46" s="80"/>
      <c r="ULH46" s="80"/>
      <c r="ULI46" s="80"/>
      <c r="ULJ46" s="80"/>
      <c r="ULK46" s="80"/>
      <c r="ULL46" s="80"/>
      <c r="ULM46" s="80"/>
      <c r="ULN46" s="80"/>
      <c r="ULO46" s="80"/>
      <c r="ULP46" s="80"/>
      <c r="ULQ46" s="80"/>
      <c r="ULR46" s="80"/>
      <c r="ULS46" s="80"/>
      <c r="ULT46" s="80"/>
      <c r="ULU46" s="80"/>
      <c r="ULV46" s="80"/>
      <c r="ULW46" s="80"/>
      <c r="ULX46" s="80"/>
      <c r="ULY46" s="80"/>
      <c r="ULZ46" s="80"/>
      <c r="UMA46" s="80"/>
      <c r="UMB46" s="80"/>
      <c r="UMC46" s="80"/>
      <c r="UMD46" s="80"/>
      <c r="UME46" s="80"/>
      <c r="UMF46" s="80"/>
      <c r="UMG46" s="80"/>
      <c r="UMH46" s="80"/>
      <c r="UMI46" s="80"/>
      <c r="UMJ46" s="80"/>
      <c r="UMK46" s="80"/>
      <c r="UML46" s="80"/>
      <c r="UMM46" s="80"/>
      <c r="UMN46" s="80"/>
      <c r="UMO46" s="80"/>
      <c r="UMP46" s="80"/>
      <c r="UMQ46" s="80"/>
      <c r="UMR46" s="80"/>
      <c r="UMS46" s="80"/>
      <c r="UMT46" s="80"/>
      <c r="UMU46" s="80"/>
      <c r="UMV46" s="80"/>
      <c r="UMW46" s="80"/>
      <c r="UMX46" s="80"/>
      <c r="UMY46" s="80"/>
      <c r="UMZ46" s="80"/>
      <c r="UNA46" s="80"/>
      <c r="UNB46" s="80"/>
      <c r="UNC46" s="80"/>
      <c r="UND46" s="80"/>
      <c r="UNE46" s="80"/>
      <c r="UNF46" s="80"/>
      <c r="UNG46" s="80"/>
      <c r="UNH46" s="80"/>
      <c r="UNI46" s="80"/>
      <c r="UNJ46" s="80"/>
      <c r="UNK46" s="80"/>
      <c r="UNL46" s="80"/>
      <c r="UNM46" s="80"/>
      <c r="UNN46" s="80"/>
      <c r="UNO46" s="80"/>
      <c r="UNP46" s="80"/>
      <c r="UNQ46" s="80"/>
      <c r="UNR46" s="80"/>
      <c r="UNS46" s="80"/>
      <c r="UNT46" s="80"/>
      <c r="UNU46" s="80"/>
      <c r="UNV46" s="80"/>
      <c r="UNW46" s="80"/>
      <c r="UNX46" s="80"/>
      <c r="UNY46" s="80"/>
      <c r="UNZ46" s="80"/>
      <c r="UOA46" s="80"/>
      <c r="UOB46" s="80"/>
      <c r="UOC46" s="80"/>
      <c r="UOD46" s="80"/>
      <c r="UOE46" s="80"/>
      <c r="UOF46" s="80"/>
      <c r="UOG46" s="80"/>
      <c r="UOH46" s="80"/>
      <c r="UOI46" s="80"/>
      <c r="UOJ46" s="80"/>
      <c r="UOK46" s="80"/>
      <c r="UOL46" s="80"/>
      <c r="UOM46" s="80"/>
      <c r="UON46" s="80"/>
      <c r="UOO46" s="80"/>
      <c r="UOP46" s="80"/>
      <c r="UOQ46" s="80"/>
      <c r="UOR46" s="80"/>
      <c r="UOS46" s="80"/>
      <c r="UOT46" s="80"/>
      <c r="UOU46" s="80"/>
      <c r="UOV46" s="80"/>
      <c r="UOW46" s="80"/>
      <c r="UOX46" s="80"/>
      <c r="UOY46" s="80"/>
      <c r="UOZ46" s="80"/>
      <c r="UPA46" s="80"/>
      <c r="UPB46" s="80"/>
      <c r="UPC46" s="80"/>
      <c r="UPD46" s="80"/>
      <c r="UPE46" s="80"/>
      <c r="UPF46" s="80"/>
      <c r="UPG46" s="80"/>
      <c r="UPH46" s="80"/>
      <c r="UPI46" s="80"/>
      <c r="UPJ46" s="80"/>
      <c r="UPK46" s="80"/>
      <c r="UPL46" s="80"/>
      <c r="UPM46" s="80"/>
      <c r="UPN46" s="80"/>
      <c r="UPO46" s="80"/>
      <c r="UPP46" s="80"/>
      <c r="UPQ46" s="80"/>
      <c r="UPR46" s="80"/>
      <c r="UPS46" s="80"/>
      <c r="UPT46" s="80"/>
      <c r="UPU46" s="80"/>
      <c r="UPV46" s="80"/>
      <c r="UPW46" s="80"/>
      <c r="UPX46" s="80"/>
      <c r="UPY46" s="80"/>
      <c r="UPZ46" s="80"/>
      <c r="UQA46" s="80"/>
      <c r="UQB46" s="80"/>
      <c r="UQC46" s="80"/>
      <c r="UQD46" s="80"/>
      <c r="UQE46" s="80"/>
      <c r="UQF46" s="80"/>
      <c r="UQG46" s="80"/>
      <c r="UQH46" s="80"/>
      <c r="UQI46" s="80"/>
      <c r="UQJ46" s="80"/>
      <c r="UQK46" s="80"/>
      <c r="UQL46" s="80"/>
      <c r="UQM46" s="80"/>
      <c r="UQN46" s="80"/>
      <c r="UQO46" s="80"/>
      <c r="UQP46" s="80"/>
      <c r="UQQ46" s="80"/>
      <c r="UQR46" s="80"/>
      <c r="UQS46" s="80"/>
      <c r="UQT46" s="80"/>
      <c r="UQU46" s="80"/>
      <c r="UQV46" s="80"/>
      <c r="UQW46" s="80"/>
      <c r="UQX46" s="80"/>
      <c r="UQY46" s="80"/>
      <c r="UQZ46" s="80"/>
      <c r="URA46" s="80"/>
      <c r="URB46" s="80"/>
      <c r="URC46" s="80"/>
      <c r="URD46" s="80"/>
      <c r="URE46" s="80"/>
      <c r="URF46" s="80"/>
      <c r="URG46" s="80"/>
      <c r="URH46" s="80"/>
      <c r="URI46" s="80"/>
      <c r="URJ46" s="80"/>
      <c r="URK46" s="80"/>
      <c r="URL46" s="80"/>
      <c r="URM46" s="80"/>
      <c r="URN46" s="80"/>
      <c r="URO46" s="80"/>
      <c r="URP46" s="80"/>
      <c r="URQ46" s="80"/>
      <c r="URR46" s="80"/>
      <c r="URS46" s="80"/>
      <c r="URT46" s="80"/>
      <c r="URU46" s="80"/>
      <c r="URV46" s="80"/>
      <c r="URW46" s="80"/>
      <c r="URX46" s="80"/>
      <c r="URY46" s="80"/>
      <c r="URZ46" s="80"/>
      <c r="USA46" s="80"/>
      <c r="USB46" s="80"/>
      <c r="USC46" s="80"/>
      <c r="USD46" s="80"/>
      <c r="USE46" s="80"/>
      <c r="USF46" s="80"/>
      <c r="USG46" s="80"/>
      <c r="USH46" s="80"/>
      <c r="USI46" s="80"/>
      <c r="USJ46" s="80"/>
      <c r="USK46" s="80"/>
      <c r="USL46" s="80"/>
      <c r="USM46" s="80"/>
      <c r="USN46" s="80"/>
      <c r="USO46" s="80"/>
      <c r="USP46" s="80"/>
      <c r="USQ46" s="80"/>
      <c r="USR46" s="80"/>
      <c r="USS46" s="80"/>
      <c r="UST46" s="80"/>
      <c r="USU46" s="80"/>
      <c r="USV46" s="80"/>
      <c r="USW46" s="80"/>
      <c r="USX46" s="80"/>
      <c r="USY46" s="80"/>
      <c r="USZ46" s="80"/>
      <c r="UTA46" s="80"/>
      <c r="UTB46" s="80"/>
      <c r="UTC46" s="80"/>
      <c r="UTD46" s="80"/>
      <c r="UTE46" s="80"/>
      <c r="UTF46" s="80"/>
      <c r="UTG46" s="80"/>
      <c r="UTH46" s="80"/>
      <c r="UTI46" s="80"/>
      <c r="UTJ46" s="80"/>
      <c r="UTK46" s="80"/>
      <c r="UTL46" s="80"/>
      <c r="UTM46" s="80"/>
      <c r="UTN46" s="80"/>
      <c r="UTO46" s="80"/>
      <c r="UTP46" s="80"/>
      <c r="UTQ46" s="80"/>
      <c r="UTR46" s="80"/>
      <c r="UTS46" s="80"/>
      <c r="UTT46" s="80"/>
      <c r="UTU46" s="80"/>
      <c r="UTV46" s="80"/>
      <c r="UTW46" s="80"/>
      <c r="UTX46" s="80"/>
      <c r="UTY46" s="80"/>
      <c r="UTZ46" s="80"/>
      <c r="UUA46" s="80"/>
      <c r="UUB46" s="80"/>
      <c r="UUC46" s="80"/>
      <c r="UUD46" s="80"/>
      <c r="UUE46" s="80"/>
      <c r="UUF46" s="80"/>
      <c r="UUG46" s="80"/>
      <c r="UUH46" s="80"/>
      <c r="UUI46" s="80"/>
      <c r="UUJ46" s="80"/>
      <c r="UUK46" s="80"/>
      <c r="UUL46" s="80"/>
      <c r="UUM46" s="80"/>
      <c r="UUN46" s="80"/>
      <c r="UUO46" s="80"/>
      <c r="UUP46" s="80"/>
      <c r="UUQ46" s="80"/>
      <c r="UUR46" s="80"/>
      <c r="UUS46" s="80"/>
      <c r="UUT46" s="80"/>
      <c r="UUU46" s="80"/>
      <c r="UUV46" s="80"/>
      <c r="UUW46" s="80"/>
      <c r="UUX46" s="80"/>
      <c r="UUY46" s="80"/>
      <c r="UUZ46" s="80"/>
      <c r="UVA46" s="80"/>
      <c r="UVB46" s="80"/>
      <c r="UVC46" s="80"/>
      <c r="UVD46" s="80"/>
      <c r="UVE46" s="80"/>
      <c r="UVF46" s="80"/>
      <c r="UVG46" s="80"/>
      <c r="UVH46" s="80"/>
      <c r="UVI46" s="80"/>
      <c r="UVJ46" s="80"/>
      <c r="UVK46" s="80"/>
      <c r="UVL46" s="80"/>
      <c r="UVM46" s="80"/>
      <c r="UVN46" s="80"/>
      <c r="UVO46" s="80"/>
      <c r="UVP46" s="80"/>
      <c r="UVQ46" s="80"/>
      <c r="UVR46" s="80"/>
      <c r="UVS46" s="80"/>
      <c r="UVT46" s="80"/>
      <c r="UVU46" s="80"/>
      <c r="UVV46" s="80"/>
      <c r="UVW46" s="80"/>
      <c r="UVX46" s="80"/>
      <c r="UVY46" s="80"/>
      <c r="UVZ46" s="80"/>
      <c r="UWA46" s="80"/>
      <c r="UWB46" s="80"/>
      <c r="UWC46" s="80"/>
      <c r="UWD46" s="80"/>
      <c r="UWE46" s="80"/>
      <c r="UWF46" s="80"/>
      <c r="UWG46" s="80"/>
      <c r="UWH46" s="80"/>
      <c r="UWI46" s="80"/>
      <c r="UWJ46" s="80"/>
      <c r="UWK46" s="80"/>
      <c r="UWL46" s="80"/>
      <c r="UWM46" s="80"/>
      <c r="UWN46" s="80"/>
      <c r="UWO46" s="80"/>
      <c r="UWP46" s="80"/>
      <c r="UWQ46" s="80"/>
      <c r="UWR46" s="80"/>
      <c r="UWS46" s="80"/>
      <c r="UWT46" s="80"/>
      <c r="UWU46" s="80"/>
      <c r="UWV46" s="80"/>
      <c r="UWW46" s="80"/>
      <c r="UWX46" s="80"/>
      <c r="UWY46" s="80"/>
      <c r="UWZ46" s="80"/>
      <c r="UXA46" s="80"/>
      <c r="UXB46" s="80"/>
      <c r="UXC46" s="80"/>
      <c r="UXD46" s="80"/>
      <c r="UXE46" s="80"/>
      <c r="UXF46" s="80"/>
      <c r="UXG46" s="80"/>
      <c r="UXH46" s="80"/>
      <c r="UXI46" s="80"/>
      <c r="UXJ46" s="80"/>
      <c r="UXK46" s="80"/>
      <c r="UXL46" s="80"/>
      <c r="UXM46" s="80"/>
      <c r="UXN46" s="80"/>
      <c r="UXO46" s="80"/>
      <c r="UXP46" s="80"/>
      <c r="UXQ46" s="80"/>
      <c r="UXR46" s="80"/>
      <c r="UXS46" s="80"/>
      <c r="UXT46" s="80"/>
      <c r="UXU46" s="80"/>
      <c r="UXV46" s="80"/>
      <c r="UXW46" s="80"/>
      <c r="UXX46" s="80"/>
      <c r="UXY46" s="80"/>
      <c r="UXZ46" s="80"/>
      <c r="UYA46" s="80"/>
      <c r="UYB46" s="80"/>
      <c r="UYC46" s="80"/>
      <c r="UYD46" s="80"/>
      <c r="UYE46" s="80"/>
      <c r="UYF46" s="80"/>
      <c r="UYG46" s="80"/>
      <c r="UYH46" s="80"/>
      <c r="UYI46" s="80"/>
      <c r="UYJ46" s="80"/>
      <c r="UYK46" s="80"/>
      <c r="UYL46" s="80"/>
      <c r="UYM46" s="80"/>
      <c r="UYN46" s="80"/>
      <c r="UYO46" s="80"/>
      <c r="UYP46" s="80"/>
      <c r="UYQ46" s="80"/>
      <c r="UYR46" s="80"/>
      <c r="UYS46" s="80"/>
      <c r="UYT46" s="80"/>
      <c r="UYU46" s="80"/>
      <c r="UYV46" s="80"/>
      <c r="UYW46" s="80"/>
      <c r="UYX46" s="80"/>
      <c r="UYY46" s="80"/>
      <c r="UYZ46" s="80"/>
      <c r="UZA46" s="80"/>
      <c r="UZB46" s="80"/>
      <c r="UZC46" s="80"/>
      <c r="UZD46" s="80"/>
      <c r="UZE46" s="80"/>
      <c r="UZF46" s="80"/>
      <c r="UZG46" s="80"/>
      <c r="UZH46" s="80"/>
      <c r="UZI46" s="80"/>
      <c r="UZJ46" s="80"/>
      <c r="UZK46" s="80"/>
      <c r="UZL46" s="80"/>
      <c r="UZM46" s="80"/>
      <c r="UZN46" s="80"/>
      <c r="UZO46" s="80"/>
      <c r="UZP46" s="80"/>
      <c r="UZQ46" s="80"/>
      <c r="UZR46" s="80"/>
      <c r="UZS46" s="80"/>
      <c r="UZT46" s="80"/>
      <c r="UZU46" s="80"/>
      <c r="UZV46" s="80"/>
      <c r="UZW46" s="80"/>
      <c r="UZX46" s="80"/>
      <c r="UZY46" s="80"/>
      <c r="UZZ46" s="80"/>
      <c r="VAA46" s="80"/>
      <c r="VAB46" s="80"/>
      <c r="VAC46" s="80"/>
      <c r="VAD46" s="80"/>
      <c r="VAE46" s="80"/>
      <c r="VAF46" s="80"/>
      <c r="VAG46" s="80"/>
      <c r="VAH46" s="80"/>
      <c r="VAI46" s="80"/>
      <c r="VAJ46" s="80"/>
      <c r="VAK46" s="80"/>
      <c r="VAL46" s="80"/>
      <c r="VAM46" s="80"/>
      <c r="VAN46" s="80"/>
      <c r="VAO46" s="80"/>
      <c r="VAP46" s="80"/>
      <c r="VAQ46" s="80"/>
      <c r="VAR46" s="80"/>
      <c r="VAS46" s="80"/>
      <c r="VAT46" s="80"/>
      <c r="VAU46" s="80"/>
      <c r="VAV46" s="80"/>
      <c r="VAW46" s="80"/>
      <c r="VAX46" s="80"/>
      <c r="VAY46" s="80"/>
      <c r="VAZ46" s="80"/>
      <c r="VBA46" s="80"/>
      <c r="VBB46" s="80"/>
      <c r="VBC46" s="80"/>
      <c r="VBD46" s="80"/>
      <c r="VBE46" s="80"/>
      <c r="VBF46" s="80"/>
      <c r="VBG46" s="80"/>
      <c r="VBH46" s="80"/>
      <c r="VBI46" s="80"/>
      <c r="VBJ46" s="80"/>
      <c r="VBK46" s="80"/>
      <c r="VBL46" s="80"/>
      <c r="VBM46" s="80"/>
      <c r="VBN46" s="80"/>
      <c r="VBO46" s="80"/>
      <c r="VBP46" s="80"/>
      <c r="VBQ46" s="80"/>
      <c r="VBR46" s="80"/>
      <c r="VBS46" s="80"/>
      <c r="VBT46" s="80"/>
      <c r="VBU46" s="80"/>
      <c r="VBV46" s="80"/>
      <c r="VBW46" s="80"/>
      <c r="VBX46" s="80"/>
      <c r="VBY46" s="80"/>
      <c r="VBZ46" s="80"/>
      <c r="VCA46" s="80"/>
      <c r="VCB46" s="80"/>
      <c r="VCC46" s="80"/>
      <c r="VCD46" s="80"/>
      <c r="VCE46" s="80"/>
      <c r="VCF46" s="80"/>
      <c r="VCG46" s="80"/>
      <c r="VCH46" s="80"/>
      <c r="VCI46" s="80"/>
      <c r="VCJ46" s="80"/>
      <c r="VCK46" s="80"/>
      <c r="VCL46" s="80"/>
      <c r="VCM46" s="80"/>
      <c r="VCN46" s="80"/>
      <c r="VCO46" s="80"/>
      <c r="VCP46" s="80"/>
      <c r="VCQ46" s="80"/>
      <c r="VCR46" s="80"/>
      <c r="VCS46" s="80"/>
      <c r="VCT46" s="80"/>
      <c r="VCU46" s="80"/>
      <c r="VCV46" s="80"/>
      <c r="VCW46" s="80"/>
      <c r="VCX46" s="80"/>
      <c r="VCY46" s="80"/>
      <c r="VCZ46" s="80"/>
      <c r="VDA46" s="80"/>
      <c r="VDB46" s="80"/>
      <c r="VDC46" s="80"/>
      <c r="VDD46" s="80"/>
      <c r="VDE46" s="80"/>
      <c r="VDF46" s="80"/>
      <c r="VDG46" s="80"/>
      <c r="VDH46" s="80"/>
      <c r="VDI46" s="80"/>
      <c r="VDJ46" s="80"/>
      <c r="VDK46" s="80"/>
      <c r="VDL46" s="80"/>
      <c r="VDM46" s="80"/>
      <c r="VDN46" s="80"/>
      <c r="VDO46" s="80"/>
      <c r="VDP46" s="80"/>
      <c r="VDQ46" s="80"/>
      <c r="VDR46" s="80"/>
      <c r="VDS46" s="80"/>
      <c r="VDT46" s="80"/>
      <c r="VDU46" s="80"/>
      <c r="VDV46" s="80"/>
      <c r="VDW46" s="80"/>
      <c r="VDX46" s="80"/>
      <c r="VDY46" s="80"/>
      <c r="VDZ46" s="80"/>
      <c r="VEA46" s="80"/>
      <c r="VEB46" s="80"/>
      <c r="VEC46" s="80"/>
      <c r="VED46" s="80"/>
      <c r="VEE46" s="80"/>
      <c r="VEF46" s="80"/>
      <c r="VEG46" s="80"/>
      <c r="VEH46" s="80"/>
      <c r="VEI46" s="80"/>
      <c r="VEJ46" s="80"/>
      <c r="VEK46" s="80"/>
      <c r="VEL46" s="80"/>
      <c r="VEM46" s="80"/>
      <c r="VEN46" s="80"/>
      <c r="VEO46" s="80"/>
      <c r="VEP46" s="80"/>
      <c r="VEQ46" s="80"/>
      <c r="VER46" s="80"/>
      <c r="VES46" s="80"/>
      <c r="VET46" s="80"/>
      <c r="VEU46" s="80"/>
      <c r="VEV46" s="80"/>
      <c r="VEW46" s="80"/>
      <c r="VEX46" s="80"/>
      <c r="VEY46" s="80"/>
      <c r="VEZ46" s="80"/>
      <c r="VFA46" s="80"/>
      <c r="VFB46" s="80"/>
      <c r="VFC46" s="80"/>
      <c r="VFD46" s="80"/>
      <c r="VFE46" s="80"/>
      <c r="VFF46" s="80"/>
      <c r="VFG46" s="80"/>
      <c r="VFH46" s="80"/>
      <c r="VFI46" s="80"/>
      <c r="VFJ46" s="80"/>
      <c r="VFK46" s="80"/>
      <c r="VFL46" s="80"/>
      <c r="VFM46" s="80"/>
      <c r="VFN46" s="80"/>
      <c r="VFO46" s="80"/>
      <c r="VFP46" s="80"/>
      <c r="VFQ46" s="80"/>
      <c r="VFR46" s="80"/>
      <c r="VFS46" s="80"/>
      <c r="VFT46" s="80"/>
      <c r="VFU46" s="80"/>
      <c r="VFV46" s="80"/>
      <c r="VFW46" s="80"/>
      <c r="VFX46" s="80"/>
      <c r="VFY46" s="80"/>
      <c r="VFZ46" s="80"/>
      <c r="VGA46" s="80"/>
      <c r="VGB46" s="80"/>
      <c r="VGC46" s="80"/>
      <c r="VGD46" s="80"/>
      <c r="VGE46" s="80"/>
      <c r="VGF46" s="80"/>
      <c r="VGG46" s="80"/>
      <c r="VGH46" s="80"/>
      <c r="VGI46" s="80"/>
      <c r="VGJ46" s="80"/>
      <c r="VGK46" s="80"/>
      <c r="VGL46" s="80"/>
      <c r="VGM46" s="80"/>
      <c r="VGN46" s="80"/>
      <c r="VGO46" s="80"/>
      <c r="VGP46" s="80"/>
      <c r="VGQ46" s="80"/>
      <c r="VGR46" s="80"/>
      <c r="VGS46" s="80"/>
      <c r="VGT46" s="80"/>
      <c r="VGU46" s="80"/>
      <c r="VGV46" s="80"/>
      <c r="VGW46" s="80"/>
      <c r="VGX46" s="80"/>
      <c r="VGY46" s="80"/>
      <c r="VGZ46" s="80"/>
      <c r="VHA46" s="80"/>
      <c r="VHB46" s="80"/>
      <c r="VHC46" s="80"/>
      <c r="VHD46" s="80"/>
      <c r="VHE46" s="80"/>
      <c r="VHF46" s="80"/>
      <c r="VHG46" s="80"/>
      <c r="VHH46" s="80"/>
      <c r="VHI46" s="80"/>
      <c r="VHJ46" s="80"/>
      <c r="VHK46" s="80"/>
      <c r="VHL46" s="80"/>
      <c r="VHM46" s="80"/>
      <c r="VHN46" s="80"/>
      <c r="VHO46" s="80"/>
      <c r="VHP46" s="80"/>
      <c r="VHQ46" s="80"/>
      <c r="VHR46" s="80"/>
      <c r="VHS46" s="80"/>
      <c r="VHT46" s="80"/>
      <c r="VHU46" s="80"/>
      <c r="VHV46" s="80"/>
      <c r="VHW46" s="80"/>
      <c r="VHX46" s="80"/>
      <c r="VHY46" s="80"/>
      <c r="VHZ46" s="80"/>
      <c r="VIA46" s="80"/>
      <c r="VIB46" s="80"/>
      <c r="VIC46" s="80"/>
      <c r="VID46" s="80"/>
      <c r="VIE46" s="80"/>
      <c r="VIF46" s="80"/>
      <c r="VIG46" s="80"/>
      <c r="VIH46" s="80"/>
      <c r="VII46" s="80"/>
      <c r="VIJ46" s="80"/>
      <c r="VIK46" s="80"/>
      <c r="VIL46" s="80"/>
      <c r="VIM46" s="80"/>
      <c r="VIN46" s="80"/>
      <c r="VIO46" s="80"/>
      <c r="VIP46" s="80"/>
      <c r="VIQ46" s="80"/>
      <c r="VIR46" s="80"/>
      <c r="VIS46" s="80"/>
      <c r="VIT46" s="80"/>
      <c r="VIU46" s="80"/>
      <c r="VIV46" s="80"/>
      <c r="VIW46" s="80"/>
      <c r="VIX46" s="80"/>
      <c r="VIY46" s="80"/>
      <c r="VIZ46" s="80"/>
      <c r="VJA46" s="80"/>
      <c r="VJB46" s="80"/>
      <c r="VJC46" s="80"/>
      <c r="VJD46" s="80"/>
      <c r="VJE46" s="80"/>
      <c r="VJF46" s="80"/>
      <c r="VJG46" s="80"/>
      <c r="VJH46" s="80"/>
      <c r="VJI46" s="80"/>
      <c r="VJJ46" s="80"/>
      <c r="VJK46" s="80"/>
      <c r="VJL46" s="80"/>
      <c r="VJM46" s="80"/>
      <c r="VJN46" s="80"/>
      <c r="VJO46" s="80"/>
      <c r="VJP46" s="80"/>
      <c r="VJQ46" s="80"/>
      <c r="VJR46" s="80"/>
      <c r="VJS46" s="80"/>
      <c r="VJT46" s="80"/>
      <c r="VJU46" s="80"/>
      <c r="VJV46" s="80"/>
      <c r="VJW46" s="80"/>
      <c r="VJX46" s="80"/>
      <c r="VJY46" s="80"/>
      <c r="VJZ46" s="80"/>
      <c r="VKA46" s="80"/>
      <c r="VKB46" s="80"/>
      <c r="VKC46" s="80"/>
      <c r="VKD46" s="80"/>
      <c r="VKE46" s="80"/>
      <c r="VKF46" s="80"/>
      <c r="VKG46" s="80"/>
      <c r="VKH46" s="80"/>
      <c r="VKI46" s="80"/>
      <c r="VKJ46" s="80"/>
      <c r="VKK46" s="80"/>
      <c r="VKL46" s="80"/>
      <c r="VKM46" s="80"/>
      <c r="VKN46" s="80"/>
      <c r="VKO46" s="80"/>
      <c r="VKP46" s="80"/>
      <c r="VKQ46" s="80"/>
      <c r="VKR46" s="80"/>
      <c r="VKS46" s="80"/>
      <c r="VKT46" s="80"/>
      <c r="VKU46" s="80"/>
      <c r="VKV46" s="80"/>
      <c r="VKW46" s="80"/>
      <c r="VKX46" s="80"/>
      <c r="VKY46" s="80"/>
      <c r="VKZ46" s="80"/>
      <c r="VLA46" s="80"/>
      <c r="VLB46" s="80"/>
      <c r="VLC46" s="80"/>
      <c r="VLD46" s="80"/>
      <c r="VLE46" s="80"/>
      <c r="VLF46" s="80"/>
      <c r="VLG46" s="80"/>
      <c r="VLH46" s="80"/>
      <c r="VLI46" s="80"/>
      <c r="VLJ46" s="80"/>
      <c r="VLK46" s="80"/>
      <c r="VLL46" s="80"/>
      <c r="VLM46" s="80"/>
      <c r="VLN46" s="80"/>
      <c r="VLO46" s="80"/>
      <c r="VLP46" s="80"/>
      <c r="VLQ46" s="80"/>
      <c r="VLR46" s="80"/>
      <c r="VLS46" s="80"/>
      <c r="VLT46" s="80"/>
      <c r="VLU46" s="80"/>
      <c r="VLV46" s="80"/>
      <c r="VLW46" s="80"/>
      <c r="VLX46" s="80"/>
      <c r="VLY46" s="80"/>
      <c r="VLZ46" s="80"/>
      <c r="VMA46" s="80"/>
      <c r="VMB46" s="80"/>
      <c r="VMC46" s="80"/>
      <c r="VMD46" s="80"/>
      <c r="VME46" s="80"/>
      <c r="VMF46" s="80"/>
      <c r="VMG46" s="80"/>
      <c r="VMH46" s="80"/>
      <c r="VMI46" s="80"/>
      <c r="VMJ46" s="80"/>
      <c r="VMK46" s="80"/>
      <c r="VML46" s="80"/>
      <c r="VMM46" s="80"/>
      <c r="VMN46" s="80"/>
      <c r="VMO46" s="80"/>
      <c r="VMP46" s="80"/>
      <c r="VMQ46" s="80"/>
      <c r="VMR46" s="80"/>
      <c r="VMS46" s="80"/>
      <c r="VMT46" s="80"/>
      <c r="VMU46" s="80"/>
      <c r="VMV46" s="80"/>
      <c r="VMW46" s="80"/>
      <c r="VMX46" s="80"/>
      <c r="VMY46" s="80"/>
      <c r="VMZ46" s="80"/>
      <c r="VNA46" s="80"/>
      <c r="VNB46" s="80"/>
      <c r="VNC46" s="80"/>
      <c r="VND46" s="80"/>
      <c r="VNE46" s="80"/>
      <c r="VNF46" s="80"/>
      <c r="VNG46" s="80"/>
      <c r="VNH46" s="80"/>
      <c r="VNI46" s="80"/>
      <c r="VNJ46" s="80"/>
      <c r="VNK46" s="80"/>
      <c r="VNL46" s="80"/>
      <c r="VNM46" s="80"/>
      <c r="VNN46" s="80"/>
      <c r="VNO46" s="80"/>
      <c r="VNP46" s="80"/>
      <c r="VNQ46" s="80"/>
      <c r="VNR46" s="80"/>
      <c r="VNS46" s="80"/>
      <c r="VNT46" s="80"/>
      <c r="VNU46" s="80"/>
      <c r="VNV46" s="80"/>
      <c r="VNW46" s="80"/>
      <c r="VNX46" s="80"/>
      <c r="VNY46" s="80"/>
      <c r="VNZ46" s="80"/>
      <c r="VOA46" s="80"/>
      <c r="VOB46" s="80"/>
      <c r="VOC46" s="80"/>
      <c r="VOD46" s="80"/>
      <c r="VOE46" s="80"/>
      <c r="VOF46" s="80"/>
      <c r="VOG46" s="80"/>
      <c r="VOH46" s="80"/>
      <c r="VOI46" s="80"/>
      <c r="VOJ46" s="80"/>
      <c r="VOK46" s="80"/>
      <c r="VOL46" s="80"/>
      <c r="VOM46" s="80"/>
      <c r="VON46" s="80"/>
      <c r="VOO46" s="80"/>
      <c r="VOP46" s="80"/>
      <c r="VOQ46" s="80"/>
      <c r="VOR46" s="80"/>
      <c r="VOS46" s="80"/>
      <c r="VOT46" s="80"/>
      <c r="VOU46" s="80"/>
      <c r="VOV46" s="80"/>
      <c r="VOW46" s="80"/>
      <c r="VOX46" s="80"/>
      <c r="VOY46" s="80"/>
      <c r="VOZ46" s="80"/>
      <c r="VPA46" s="80"/>
      <c r="VPB46" s="80"/>
      <c r="VPC46" s="80"/>
      <c r="VPD46" s="80"/>
      <c r="VPE46" s="80"/>
      <c r="VPF46" s="80"/>
      <c r="VPG46" s="80"/>
      <c r="VPH46" s="80"/>
      <c r="VPI46" s="80"/>
      <c r="VPJ46" s="80"/>
      <c r="VPK46" s="80"/>
      <c r="VPL46" s="80"/>
      <c r="VPM46" s="80"/>
      <c r="VPN46" s="80"/>
      <c r="VPO46" s="80"/>
      <c r="VPP46" s="80"/>
      <c r="VPQ46" s="80"/>
      <c r="VPR46" s="80"/>
      <c r="VPS46" s="80"/>
      <c r="VPT46" s="80"/>
      <c r="VPU46" s="80"/>
      <c r="VPV46" s="80"/>
      <c r="VPW46" s="80"/>
      <c r="VPX46" s="80"/>
      <c r="VPY46" s="80"/>
      <c r="VPZ46" s="80"/>
      <c r="VQA46" s="80"/>
      <c r="VQB46" s="80"/>
      <c r="VQC46" s="80"/>
      <c r="VQD46" s="80"/>
      <c r="VQE46" s="80"/>
      <c r="VQF46" s="80"/>
      <c r="VQG46" s="80"/>
      <c r="VQH46" s="80"/>
      <c r="VQI46" s="80"/>
      <c r="VQJ46" s="80"/>
      <c r="VQK46" s="80"/>
      <c r="VQL46" s="80"/>
      <c r="VQM46" s="80"/>
      <c r="VQN46" s="80"/>
      <c r="VQO46" s="80"/>
      <c r="VQP46" s="80"/>
      <c r="VQQ46" s="80"/>
      <c r="VQR46" s="80"/>
      <c r="VQS46" s="80"/>
      <c r="VQT46" s="80"/>
      <c r="VQU46" s="80"/>
      <c r="VQV46" s="80"/>
      <c r="VQW46" s="80"/>
      <c r="VQX46" s="80"/>
      <c r="VQY46" s="80"/>
      <c r="VQZ46" s="80"/>
      <c r="VRA46" s="80"/>
      <c r="VRB46" s="80"/>
      <c r="VRC46" s="80"/>
      <c r="VRD46" s="80"/>
      <c r="VRE46" s="80"/>
      <c r="VRF46" s="80"/>
      <c r="VRG46" s="80"/>
      <c r="VRH46" s="80"/>
      <c r="VRI46" s="80"/>
      <c r="VRJ46" s="80"/>
      <c r="VRK46" s="80"/>
      <c r="VRL46" s="80"/>
      <c r="VRM46" s="80"/>
      <c r="VRN46" s="80"/>
      <c r="VRO46" s="80"/>
      <c r="VRP46" s="80"/>
      <c r="VRQ46" s="80"/>
      <c r="VRR46" s="80"/>
      <c r="VRS46" s="80"/>
      <c r="VRT46" s="80"/>
      <c r="VRU46" s="80"/>
      <c r="VRV46" s="80"/>
      <c r="VRW46" s="80"/>
      <c r="VRX46" s="80"/>
      <c r="VRY46" s="80"/>
      <c r="VRZ46" s="80"/>
      <c r="VSA46" s="80"/>
      <c r="VSB46" s="80"/>
      <c r="VSC46" s="80"/>
      <c r="VSD46" s="80"/>
      <c r="VSE46" s="80"/>
      <c r="VSF46" s="80"/>
      <c r="VSG46" s="80"/>
      <c r="VSH46" s="80"/>
      <c r="VSI46" s="80"/>
      <c r="VSJ46" s="80"/>
      <c r="VSK46" s="80"/>
      <c r="VSL46" s="80"/>
      <c r="VSM46" s="80"/>
      <c r="VSN46" s="80"/>
      <c r="VSO46" s="80"/>
      <c r="VSP46" s="80"/>
      <c r="VSQ46" s="80"/>
      <c r="VSR46" s="80"/>
      <c r="VSS46" s="80"/>
      <c r="VST46" s="80"/>
      <c r="VSU46" s="80"/>
      <c r="VSV46" s="80"/>
      <c r="VSW46" s="80"/>
      <c r="VSX46" s="80"/>
      <c r="VSY46" s="80"/>
      <c r="VSZ46" s="80"/>
      <c r="VTA46" s="80"/>
      <c r="VTB46" s="80"/>
      <c r="VTC46" s="80"/>
      <c r="VTD46" s="80"/>
      <c r="VTE46" s="80"/>
      <c r="VTF46" s="80"/>
      <c r="VTG46" s="80"/>
      <c r="VTH46" s="80"/>
      <c r="VTI46" s="80"/>
      <c r="VTJ46" s="80"/>
      <c r="VTK46" s="80"/>
      <c r="VTL46" s="80"/>
      <c r="VTM46" s="80"/>
      <c r="VTN46" s="80"/>
      <c r="VTO46" s="80"/>
      <c r="VTP46" s="80"/>
      <c r="VTQ46" s="80"/>
      <c r="VTR46" s="80"/>
      <c r="VTS46" s="80"/>
      <c r="VTT46" s="80"/>
      <c r="VTU46" s="80"/>
      <c r="VTV46" s="80"/>
      <c r="VTW46" s="80"/>
      <c r="VTX46" s="80"/>
      <c r="VTY46" s="80"/>
      <c r="VTZ46" s="80"/>
      <c r="VUA46" s="80"/>
      <c r="VUB46" s="80"/>
      <c r="VUC46" s="80"/>
      <c r="VUD46" s="80"/>
      <c r="VUE46" s="80"/>
      <c r="VUF46" s="80"/>
      <c r="VUG46" s="80"/>
      <c r="VUH46" s="80"/>
      <c r="VUI46" s="80"/>
      <c r="VUJ46" s="80"/>
      <c r="VUK46" s="80"/>
      <c r="VUL46" s="80"/>
      <c r="VUM46" s="80"/>
      <c r="VUN46" s="80"/>
      <c r="VUO46" s="80"/>
      <c r="VUP46" s="80"/>
      <c r="VUQ46" s="80"/>
      <c r="VUR46" s="80"/>
      <c r="VUS46" s="80"/>
      <c r="VUT46" s="80"/>
      <c r="VUU46" s="80"/>
      <c r="VUV46" s="80"/>
      <c r="VUW46" s="80"/>
      <c r="VUX46" s="80"/>
      <c r="VUY46" s="80"/>
      <c r="VUZ46" s="80"/>
      <c r="VVA46" s="80"/>
      <c r="VVB46" s="80"/>
      <c r="VVC46" s="80"/>
      <c r="VVD46" s="80"/>
      <c r="VVE46" s="80"/>
      <c r="VVF46" s="80"/>
      <c r="VVG46" s="80"/>
      <c r="VVH46" s="80"/>
      <c r="VVI46" s="80"/>
      <c r="VVJ46" s="80"/>
      <c r="VVK46" s="80"/>
      <c r="VVL46" s="80"/>
      <c r="VVM46" s="80"/>
      <c r="VVN46" s="80"/>
      <c r="VVO46" s="80"/>
      <c r="VVP46" s="80"/>
      <c r="VVQ46" s="80"/>
      <c r="VVR46" s="80"/>
      <c r="VVS46" s="80"/>
      <c r="VVT46" s="80"/>
      <c r="VVU46" s="80"/>
      <c r="VVV46" s="80"/>
      <c r="VVW46" s="80"/>
      <c r="VVX46" s="80"/>
      <c r="VVY46" s="80"/>
      <c r="VVZ46" s="80"/>
      <c r="VWA46" s="80"/>
      <c r="VWB46" s="80"/>
      <c r="VWC46" s="80"/>
      <c r="VWD46" s="80"/>
      <c r="VWE46" s="80"/>
      <c r="VWF46" s="80"/>
      <c r="VWG46" s="80"/>
      <c r="VWH46" s="80"/>
      <c r="VWI46" s="80"/>
      <c r="VWJ46" s="80"/>
      <c r="VWK46" s="80"/>
      <c r="VWL46" s="80"/>
      <c r="VWM46" s="80"/>
      <c r="VWN46" s="80"/>
      <c r="VWO46" s="80"/>
      <c r="VWP46" s="80"/>
      <c r="VWQ46" s="80"/>
      <c r="VWR46" s="80"/>
      <c r="VWS46" s="80"/>
      <c r="VWT46" s="80"/>
      <c r="VWU46" s="80"/>
      <c r="VWV46" s="80"/>
      <c r="VWW46" s="80"/>
      <c r="VWX46" s="80"/>
      <c r="VWY46" s="80"/>
      <c r="VWZ46" s="80"/>
      <c r="VXA46" s="80"/>
      <c r="VXB46" s="80"/>
      <c r="VXC46" s="80"/>
      <c r="VXD46" s="80"/>
      <c r="VXE46" s="80"/>
      <c r="VXF46" s="80"/>
      <c r="VXG46" s="80"/>
      <c r="VXH46" s="80"/>
      <c r="VXI46" s="80"/>
      <c r="VXJ46" s="80"/>
      <c r="VXK46" s="80"/>
      <c r="VXL46" s="80"/>
      <c r="VXM46" s="80"/>
      <c r="VXN46" s="80"/>
      <c r="VXO46" s="80"/>
      <c r="VXP46" s="80"/>
      <c r="VXQ46" s="80"/>
      <c r="VXR46" s="80"/>
      <c r="VXS46" s="80"/>
      <c r="VXT46" s="80"/>
      <c r="VXU46" s="80"/>
      <c r="VXV46" s="80"/>
      <c r="VXW46" s="80"/>
      <c r="VXX46" s="80"/>
      <c r="VXY46" s="80"/>
      <c r="VXZ46" s="80"/>
      <c r="VYA46" s="80"/>
      <c r="VYB46" s="80"/>
      <c r="VYC46" s="80"/>
      <c r="VYD46" s="80"/>
      <c r="VYE46" s="80"/>
      <c r="VYF46" s="80"/>
      <c r="VYG46" s="80"/>
      <c r="VYH46" s="80"/>
      <c r="VYI46" s="80"/>
      <c r="VYJ46" s="80"/>
      <c r="VYK46" s="80"/>
      <c r="VYL46" s="80"/>
      <c r="VYM46" s="80"/>
      <c r="VYN46" s="80"/>
      <c r="VYO46" s="80"/>
      <c r="VYP46" s="80"/>
      <c r="VYQ46" s="80"/>
      <c r="VYR46" s="80"/>
      <c r="VYS46" s="80"/>
      <c r="VYT46" s="80"/>
      <c r="VYU46" s="80"/>
      <c r="VYV46" s="80"/>
      <c r="VYW46" s="80"/>
      <c r="VYX46" s="80"/>
      <c r="VYY46" s="80"/>
      <c r="VYZ46" s="80"/>
      <c r="VZA46" s="80"/>
      <c r="VZB46" s="80"/>
      <c r="VZC46" s="80"/>
      <c r="VZD46" s="80"/>
      <c r="VZE46" s="80"/>
      <c r="VZF46" s="80"/>
      <c r="VZG46" s="80"/>
      <c r="VZH46" s="80"/>
      <c r="VZI46" s="80"/>
      <c r="VZJ46" s="80"/>
      <c r="VZK46" s="80"/>
      <c r="VZL46" s="80"/>
      <c r="VZM46" s="80"/>
      <c r="VZN46" s="80"/>
      <c r="VZO46" s="80"/>
      <c r="VZP46" s="80"/>
      <c r="VZQ46" s="80"/>
      <c r="VZR46" s="80"/>
      <c r="VZS46" s="80"/>
      <c r="VZT46" s="80"/>
      <c r="VZU46" s="80"/>
      <c r="VZV46" s="80"/>
      <c r="VZW46" s="80"/>
      <c r="VZX46" s="80"/>
      <c r="VZY46" s="80"/>
      <c r="VZZ46" s="80"/>
      <c r="WAA46" s="80"/>
      <c r="WAB46" s="80"/>
      <c r="WAC46" s="80"/>
      <c r="WAD46" s="80"/>
      <c r="WAE46" s="80"/>
      <c r="WAF46" s="80"/>
      <c r="WAG46" s="80"/>
      <c r="WAH46" s="80"/>
      <c r="WAI46" s="80"/>
      <c r="WAJ46" s="80"/>
      <c r="WAK46" s="80"/>
      <c r="WAL46" s="80"/>
      <c r="WAM46" s="80"/>
      <c r="WAN46" s="80"/>
      <c r="WAO46" s="80"/>
      <c r="WAP46" s="80"/>
      <c r="WAQ46" s="80"/>
      <c r="WAR46" s="80"/>
      <c r="WAS46" s="80"/>
      <c r="WAT46" s="80"/>
      <c r="WAU46" s="80"/>
      <c r="WAV46" s="80"/>
      <c r="WAW46" s="80"/>
      <c r="WAX46" s="80"/>
      <c r="WAY46" s="80"/>
      <c r="WAZ46" s="80"/>
      <c r="WBA46" s="80"/>
      <c r="WBB46" s="80"/>
      <c r="WBC46" s="80"/>
      <c r="WBD46" s="80"/>
      <c r="WBE46" s="80"/>
      <c r="WBF46" s="80"/>
      <c r="WBG46" s="80"/>
      <c r="WBH46" s="80"/>
      <c r="WBI46" s="80"/>
      <c r="WBJ46" s="80"/>
      <c r="WBK46" s="80"/>
      <c r="WBL46" s="80"/>
      <c r="WBM46" s="80"/>
      <c r="WBN46" s="80"/>
      <c r="WBO46" s="80"/>
      <c r="WBP46" s="80"/>
      <c r="WBQ46" s="80"/>
      <c r="WBR46" s="80"/>
      <c r="WBS46" s="80"/>
      <c r="WBT46" s="80"/>
      <c r="WBU46" s="80"/>
      <c r="WBV46" s="80"/>
      <c r="WBW46" s="80"/>
      <c r="WBX46" s="80"/>
      <c r="WBY46" s="80"/>
      <c r="WBZ46" s="80"/>
      <c r="WCA46" s="80"/>
      <c r="WCB46" s="80"/>
      <c r="WCC46" s="80"/>
      <c r="WCD46" s="80"/>
      <c r="WCE46" s="80"/>
      <c r="WCF46" s="80"/>
      <c r="WCG46" s="80"/>
      <c r="WCH46" s="80"/>
      <c r="WCI46" s="80"/>
      <c r="WCJ46" s="80"/>
      <c r="WCK46" s="80"/>
      <c r="WCL46" s="80"/>
      <c r="WCM46" s="80"/>
      <c r="WCN46" s="80"/>
      <c r="WCO46" s="80"/>
      <c r="WCP46" s="80"/>
      <c r="WCQ46" s="80"/>
      <c r="WCR46" s="80"/>
      <c r="WCS46" s="80"/>
      <c r="WCT46" s="80"/>
      <c r="WCU46" s="80"/>
      <c r="WCV46" s="80"/>
      <c r="WCW46" s="80"/>
      <c r="WCX46" s="80"/>
      <c r="WCY46" s="80"/>
      <c r="WCZ46" s="80"/>
      <c r="WDA46" s="80"/>
      <c r="WDB46" s="80"/>
      <c r="WDC46" s="80"/>
      <c r="WDD46" s="80"/>
      <c r="WDE46" s="80"/>
      <c r="WDF46" s="80"/>
      <c r="WDG46" s="80"/>
      <c r="WDH46" s="80"/>
      <c r="WDI46" s="80"/>
      <c r="WDJ46" s="80"/>
      <c r="WDK46" s="80"/>
      <c r="WDL46" s="80"/>
      <c r="WDM46" s="80"/>
      <c r="WDN46" s="80"/>
      <c r="WDO46" s="80"/>
      <c r="WDP46" s="80"/>
      <c r="WDQ46" s="80"/>
      <c r="WDR46" s="80"/>
      <c r="WDS46" s="80"/>
      <c r="WDT46" s="80"/>
      <c r="WDU46" s="80"/>
      <c r="WDV46" s="80"/>
      <c r="WDW46" s="80"/>
      <c r="WDX46" s="80"/>
      <c r="WDY46" s="80"/>
      <c r="WDZ46" s="80"/>
      <c r="WEA46" s="80"/>
      <c r="WEB46" s="80"/>
      <c r="WEC46" s="80"/>
      <c r="WED46" s="80"/>
      <c r="WEE46" s="80"/>
      <c r="WEF46" s="80"/>
      <c r="WEG46" s="80"/>
      <c r="WEH46" s="80"/>
      <c r="WEI46" s="80"/>
      <c r="WEJ46" s="80"/>
      <c r="WEK46" s="80"/>
      <c r="WEL46" s="80"/>
      <c r="WEM46" s="80"/>
      <c r="WEN46" s="80"/>
      <c r="WEO46" s="80"/>
      <c r="WEP46" s="80"/>
      <c r="WEQ46" s="80"/>
      <c r="WER46" s="80"/>
      <c r="WES46" s="80"/>
      <c r="WET46" s="80"/>
      <c r="WEU46" s="80"/>
      <c r="WEV46" s="80"/>
      <c r="WEW46" s="80"/>
      <c r="WEX46" s="80"/>
      <c r="WEY46" s="80"/>
      <c r="WEZ46" s="80"/>
      <c r="WFA46" s="80"/>
      <c r="WFB46" s="80"/>
      <c r="WFC46" s="80"/>
      <c r="WFD46" s="80"/>
      <c r="WFE46" s="80"/>
      <c r="WFF46" s="80"/>
      <c r="WFG46" s="80"/>
      <c r="WFH46" s="80"/>
      <c r="WFI46" s="80"/>
      <c r="WFJ46" s="80"/>
      <c r="WFK46" s="80"/>
      <c r="WFL46" s="80"/>
      <c r="WFM46" s="80"/>
      <c r="WFN46" s="80"/>
      <c r="WFO46" s="80"/>
      <c r="WFP46" s="80"/>
      <c r="WFQ46" s="80"/>
      <c r="WFR46" s="80"/>
      <c r="WFS46" s="80"/>
      <c r="WFT46" s="80"/>
      <c r="WFU46" s="80"/>
      <c r="WFV46" s="80"/>
      <c r="WFW46" s="80"/>
      <c r="WFX46" s="80"/>
      <c r="WFY46" s="80"/>
      <c r="WFZ46" s="80"/>
      <c r="WGA46" s="80"/>
      <c r="WGB46" s="80"/>
      <c r="WGC46" s="80"/>
      <c r="WGD46" s="80"/>
      <c r="WGE46" s="80"/>
      <c r="WGF46" s="80"/>
      <c r="WGG46" s="80"/>
      <c r="WGH46" s="80"/>
      <c r="WGI46" s="80"/>
      <c r="WGJ46" s="80"/>
      <c r="WGK46" s="80"/>
      <c r="WGL46" s="80"/>
      <c r="WGM46" s="80"/>
      <c r="WGN46" s="80"/>
      <c r="WGO46" s="80"/>
      <c r="WGP46" s="80"/>
      <c r="WGQ46" s="80"/>
      <c r="WGR46" s="80"/>
      <c r="WGS46" s="80"/>
      <c r="WGT46" s="80"/>
      <c r="WGU46" s="80"/>
      <c r="WGV46" s="80"/>
      <c r="WGW46" s="80"/>
      <c r="WGX46" s="80"/>
      <c r="WGY46" s="80"/>
      <c r="WGZ46" s="80"/>
      <c r="WHA46" s="80"/>
      <c r="WHB46" s="80"/>
      <c r="WHC46" s="80"/>
      <c r="WHD46" s="80"/>
      <c r="WHE46" s="80"/>
      <c r="WHF46" s="80"/>
      <c r="WHG46" s="80"/>
      <c r="WHH46" s="80"/>
      <c r="WHI46" s="80"/>
      <c r="WHJ46" s="80"/>
      <c r="WHK46" s="80"/>
      <c r="WHL46" s="80"/>
      <c r="WHM46" s="80"/>
      <c r="WHN46" s="80"/>
      <c r="WHO46" s="80"/>
      <c r="WHP46" s="80"/>
      <c r="WHQ46" s="80"/>
      <c r="WHR46" s="80"/>
      <c r="WHS46" s="80"/>
      <c r="WHT46" s="80"/>
      <c r="WHU46" s="80"/>
      <c r="WHV46" s="80"/>
      <c r="WHW46" s="80"/>
      <c r="WHX46" s="80"/>
      <c r="WHY46" s="80"/>
      <c r="WHZ46" s="80"/>
      <c r="WIA46" s="80"/>
      <c r="WIB46" s="80"/>
      <c r="WIC46" s="80"/>
      <c r="WID46" s="80"/>
      <c r="WIE46" s="80"/>
      <c r="WIF46" s="80"/>
      <c r="WIG46" s="80"/>
      <c r="WIH46" s="80"/>
      <c r="WII46" s="80"/>
      <c r="WIJ46" s="80"/>
      <c r="WIK46" s="80"/>
      <c r="WIL46" s="80"/>
      <c r="WIM46" s="80"/>
      <c r="WIN46" s="80"/>
      <c r="WIO46" s="80"/>
      <c r="WIP46" s="80"/>
      <c r="WIQ46" s="80"/>
      <c r="WIR46" s="80"/>
      <c r="WIS46" s="80"/>
      <c r="WIT46" s="80"/>
      <c r="WIU46" s="80"/>
      <c r="WIV46" s="80"/>
      <c r="WIW46" s="80"/>
      <c r="WIX46" s="80"/>
      <c r="WIY46" s="80"/>
      <c r="WIZ46" s="80"/>
      <c r="WJA46" s="80"/>
      <c r="WJB46" s="80"/>
      <c r="WJC46" s="80"/>
      <c r="WJD46" s="80"/>
      <c r="WJE46" s="80"/>
      <c r="WJF46" s="80"/>
      <c r="WJG46" s="80"/>
      <c r="WJH46" s="80"/>
      <c r="WJI46" s="80"/>
      <c r="WJJ46" s="80"/>
      <c r="WJK46" s="80"/>
      <c r="WJL46" s="80"/>
      <c r="WJM46" s="80"/>
      <c r="WJN46" s="80"/>
      <c r="WJO46" s="80"/>
      <c r="WJP46" s="80"/>
      <c r="WJQ46" s="80"/>
      <c r="WJR46" s="80"/>
      <c r="WJS46" s="80"/>
      <c r="WJT46" s="80"/>
      <c r="WJU46" s="80"/>
      <c r="WJV46" s="80"/>
      <c r="WJW46" s="80"/>
      <c r="WJX46" s="80"/>
      <c r="WJY46" s="80"/>
      <c r="WJZ46" s="80"/>
      <c r="WKA46" s="80"/>
      <c r="WKB46" s="80"/>
      <c r="WKC46" s="80"/>
      <c r="WKD46" s="80"/>
      <c r="WKE46" s="80"/>
      <c r="WKF46" s="80"/>
      <c r="WKG46" s="80"/>
      <c r="WKH46" s="80"/>
      <c r="WKI46" s="80"/>
      <c r="WKJ46" s="80"/>
      <c r="WKK46" s="80"/>
      <c r="WKL46" s="80"/>
      <c r="WKM46" s="80"/>
      <c r="WKN46" s="80"/>
      <c r="WKO46" s="80"/>
      <c r="WKP46" s="80"/>
      <c r="WKQ46" s="80"/>
      <c r="WKR46" s="80"/>
      <c r="WKS46" s="80"/>
      <c r="WKT46" s="80"/>
      <c r="WKU46" s="80"/>
      <c r="WKV46" s="80"/>
      <c r="WKW46" s="80"/>
      <c r="WKX46" s="80"/>
      <c r="WKY46" s="80"/>
      <c r="WKZ46" s="80"/>
      <c r="WLA46" s="80"/>
      <c r="WLB46" s="80"/>
      <c r="WLC46" s="80"/>
      <c r="WLD46" s="80"/>
      <c r="WLE46" s="80"/>
      <c r="WLF46" s="80"/>
      <c r="WLG46" s="80"/>
      <c r="WLH46" s="80"/>
      <c r="WLI46" s="80"/>
      <c r="WLJ46" s="80"/>
      <c r="WLK46" s="80"/>
      <c r="WLL46" s="80"/>
      <c r="WLM46" s="80"/>
      <c r="WLN46" s="80"/>
      <c r="WLO46" s="80"/>
      <c r="WLP46" s="80"/>
      <c r="WLQ46" s="80"/>
      <c r="WLR46" s="80"/>
      <c r="WLS46" s="80"/>
      <c r="WLT46" s="80"/>
      <c r="WLU46" s="80"/>
      <c r="WLV46" s="80"/>
      <c r="WLW46" s="80"/>
      <c r="WLX46" s="80"/>
      <c r="WLY46" s="80"/>
      <c r="WLZ46" s="80"/>
      <c r="WMA46" s="80"/>
      <c r="WMB46" s="80"/>
      <c r="WMC46" s="80"/>
      <c r="WMD46" s="80"/>
      <c r="WME46" s="80"/>
      <c r="WMF46" s="80"/>
      <c r="WMG46" s="80"/>
      <c r="WMH46" s="80"/>
      <c r="WMI46" s="80"/>
      <c r="WMJ46" s="80"/>
      <c r="WMK46" s="80"/>
      <c r="WML46" s="80"/>
      <c r="WMM46" s="80"/>
      <c r="WMN46" s="80"/>
      <c r="WMO46" s="80"/>
      <c r="WMP46" s="80"/>
      <c r="WMQ46" s="80"/>
      <c r="WMR46" s="80"/>
      <c r="WMS46" s="80"/>
      <c r="WMT46" s="80"/>
      <c r="WMU46" s="80"/>
      <c r="WMV46" s="80"/>
      <c r="WMW46" s="80"/>
      <c r="WMX46" s="80"/>
      <c r="WMY46" s="80"/>
      <c r="WMZ46" s="80"/>
      <c r="WNA46" s="80"/>
      <c r="WNB46" s="80"/>
      <c r="WNC46" s="80"/>
      <c r="WND46" s="80"/>
      <c r="WNE46" s="80"/>
      <c r="WNF46" s="80"/>
      <c r="WNG46" s="80"/>
      <c r="WNH46" s="80"/>
      <c r="WNI46" s="80"/>
      <c r="WNJ46" s="80"/>
      <c r="WNK46" s="80"/>
      <c r="WNL46" s="80"/>
      <c r="WNM46" s="80"/>
      <c r="WNN46" s="80"/>
      <c r="WNO46" s="80"/>
      <c r="WNP46" s="80"/>
      <c r="WNQ46" s="80"/>
      <c r="WNR46" s="80"/>
      <c r="WNS46" s="80"/>
      <c r="WNT46" s="80"/>
      <c r="WNU46" s="80"/>
      <c r="WNV46" s="80"/>
      <c r="WNW46" s="80"/>
      <c r="WNX46" s="80"/>
      <c r="WNY46" s="80"/>
      <c r="WNZ46" s="80"/>
      <c r="WOA46" s="80"/>
      <c r="WOB46" s="80"/>
      <c r="WOC46" s="80"/>
      <c r="WOD46" s="80"/>
      <c r="WOE46" s="80"/>
      <c r="WOF46" s="80"/>
      <c r="WOG46" s="80"/>
      <c r="WOH46" s="80"/>
      <c r="WOI46" s="80"/>
      <c r="WOJ46" s="80"/>
      <c r="WOK46" s="80"/>
      <c r="WOL46" s="80"/>
      <c r="WOM46" s="80"/>
      <c r="WON46" s="80"/>
      <c r="WOO46" s="80"/>
      <c r="WOP46" s="80"/>
      <c r="WOQ46" s="80"/>
      <c r="WOR46" s="80"/>
      <c r="WOS46" s="80"/>
      <c r="WOT46" s="80"/>
      <c r="WOU46" s="80"/>
      <c r="WOV46" s="80"/>
      <c r="WOW46" s="80"/>
      <c r="WOX46" s="80"/>
      <c r="WOY46" s="80"/>
      <c r="WOZ46" s="80"/>
      <c r="WPA46" s="80"/>
      <c r="WPB46" s="80"/>
      <c r="WPC46" s="80"/>
      <c r="WPD46" s="80"/>
      <c r="WPE46" s="80"/>
      <c r="WPF46" s="80"/>
      <c r="WPG46" s="80"/>
      <c r="WPH46" s="80"/>
      <c r="WPI46" s="80"/>
      <c r="WPJ46" s="80"/>
      <c r="WPK46" s="80"/>
      <c r="WPL46" s="80"/>
      <c r="WPM46" s="80"/>
      <c r="WPN46" s="80"/>
      <c r="WPO46" s="80"/>
      <c r="WPP46" s="80"/>
      <c r="WPQ46" s="80"/>
      <c r="WPR46" s="80"/>
      <c r="WPS46" s="80"/>
      <c r="WPT46" s="80"/>
      <c r="WPU46" s="80"/>
      <c r="WPV46" s="80"/>
      <c r="WPW46" s="80"/>
      <c r="WPX46" s="80"/>
      <c r="WPY46" s="80"/>
      <c r="WPZ46" s="80"/>
      <c r="WQA46" s="80"/>
      <c r="WQB46" s="80"/>
      <c r="WQC46" s="80"/>
      <c r="WQD46" s="80"/>
      <c r="WQE46" s="80"/>
      <c r="WQF46" s="80"/>
      <c r="WQG46" s="80"/>
      <c r="WQH46" s="80"/>
      <c r="WQI46" s="80"/>
      <c r="WQJ46" s="80"/>
      <c r="WQK46" s="80"/>
      <c r="WQL46" s="80"/>
      <c r="WQM46" s="80"/>
      <c r="WQN46" s="80"/>
      <c r="WQO46" s="80"/>
      <c r="WQP46" s="80"/>
      <c r="WQQ46" s="80"/>
      <c r="WQR46" s="80"/>
      <c r="WQS46" s="80"/>
      <c r="WQT46" s="80"/>
      <c r="WQU46" s="80"/>
      <c r="WQV46" s="80"/>
      <c r="WQW46" s="80"/>
      <c r="WQX46" s="80"/>
      <c r="WQY46" s="80"/>
      <c r="WQZ46" s="80"/>
      <c r="WRA46" s="80"/>
      <c r="WRB46" s="80"/>
      <c r="WRC46" s="80"/>
      <c r="WRD46" s="80"/>
      <c r="WRE46" s="80"/>
      <c r="WRF46" s="80"/>
      <c r="WRG46" s="80"/>
      <c r="WRH46" s="80"/>
      <c r="WRI46" s="80"/>
      <c r="WRJ46" s="80"/>
      <c r="WRK46" s="80"/>
      <c r="WRL46" s="80"/>
      <c r="WRM46" s="80"/>
      <c r="WRN46" s="80"/>
      <c r="WRO46" s="80"/>
      <c r="WRP46" s="80"/>
      <c r="WRQ46" s="80"/>
      <c r="WRR46" s="80"/>
      <c r="WRS46" s="80"/>
      <c r="WRT46" s="80"/>
      <c r="WRU46" s="80"/>
      <c r="WRV46" s="80"/>
      <c r="WRW46" s="80"/>
      <c r="WRX46" s="80"/>
      <c r="WRY46" s="80"/>
      <c r="WRZ46" s="80"/>
      <c r="WSA46" s="80"/>
      <c r="WSB46" s="80"/>
      <c r="WSC46" s="80"/>
      <c r="WSD46" s="80"/>
      <c r="WSE46" s="80"/>
      <c r="WSF46" s="80"/>
      <c r="WSG46" s="80"/>
      <c r="WSH46" s="80"/>
      <c r="WSI46" s="80"/>
      <c r="WSJ46" s="80"/>
      <c r="WSK46" s="80"/>
      <c r="WSL46" s="80"/>
      <c r="WSM46" s="80"/>
      <c r="WSN46" s="80"/>
      <c r="WSO46" s="80"/>
      <c r="WSP46" s="80"/>
      <c r="WSQ46" s="80"/>
      <c r="WSR46" s="80"/>
      <c r="WSS46" s="80"/>
      <c r="WST46" s="80"/>
      <c r="WSU46" s="80"/>
      <c r="WSV46" s="80"/>
      <c r="WSW46" s="80"/>
      <c r="WSX46" s="80"/>
      <c r="WSY46" s="80"/>
      <c r="WSZ46" s="80"/>
      <c r="WTA46" s="80"/>
      <c r="WTB46" s="80"/>
      <c r="WTC46" s="80"/>
      <c r="WTD46" s="80"/>
      <c r="WTE46" s="80"/>
      <c r="WTF46" s="80"/>
      <c r="WTG46" s="80"/>
      <c r="WTH46" s="80"/>
      <c r="WTI46" s="80"/>
      <c r="WTJ46" s="80"/>
      <c r="WTK46" s="80"/>
      <c r="WTL46" s="80"/>
      <c r="WTM46" s="80"/>
      <c r="WTN46" s="80"/>
      <c r="WTO46" s="80"/>
      <c r="WTP46" s="80"/>
      <c r="WTQ46" s="80"/>
      <c r="WTR46" s="80"/>
      <c r="WTS46" s="80"/>
      <c r="WTT46" s="80"/>
      <c r="WTU46" s="80"/>
      <c r="WTV46" s="80"/>
      <c r="WTW46" s="80"/>
      <c r="WTX46" s="80"/>
      <c r="WTY46" s="80"/>
      <c r="WTZ46" s="80"/>
      <c r="WUA46" s="80"/>
      <c r="WUB46" s="80"/>
      <c r="WUC46" s="80"/>
      <c r="WUD46" s="80"/>
      <c r="WUE46" s="80"/>
      <c r="WUF46" s="80"/>
      <c r="WUG46" s="80"/>
      <c r="WUH46" s="80"/>
      <c r="WUI46" s="80"/>
      <c r="WUJ46" s="80"/>
      <c r="WUK46" s="80"/>
      <c r="WUL46" s="80"/>
      <c r="WUM46" s="80"/>
      <c r="WUN46" s="80"/>
      <c r="WUO46" s="80"/>
      <c r="WUP46" s="80"/>
      <c r="WUQ46" s="80"/>
      <c r="WUR46" s="80"/>
      <c r="WUS46" s="80"/>
      <c r="WUT46" s="80"/>
      <c r="WUU46" s="80"/>
      <c r="WUV46" s="80"/>
      <c r="WUW46" s="80"/>
      <c r="WUX46" s="80"/>
      <c r="WUY46" s="80"/>
      <c r="WUZ46" s="80"/>
      <c r="WVA46" s="80"/>
      <c r="WVB46" s="80"/>
      <c r="WVC46" s="80"/>
      <c r="WVD46" s="80"/>
      <c r="WVE46" s="80"/>
      <c r="WVF46" s="80"/>
      <c r="WVG46" s="80"/>
      <c r="WVH46" s="80"/>
      <c r="WVI46" s="80"/>
      <c r="WVJ46" s="80"/>
      <c r="WVK46" s="80"/>
      <c r="WVL46" s="80"/>
      <c r="WVM46" s="80"/>
      <c r="WVN46" s="80"/>
      <c r="WVO46" s="80"/>
      <c r="WVP46" s="80"/>
      <c r="WVQ46" s="80"/>
      <c r="WVR46" s="80"/>
      <c r="WVS46" s="80"/>
      <c r="WVT46" s="80"/>
      <c r="WVU46" s="80"/>
      <c r="WVV46" s="80"/>
      <c r="WVW46" s="80"/>
      <c r="WVX46" s="80"/>
      <c r="WVY46" s="80"/>
      <c r="WVZ46" s="80"/>
      <c r="WWA46" s="80"/>
      <c r="WWB46" s="80"/>
      <c r="WWC46" s="80"/>
      <c r="WWD46" s="80"/>
      <c r="WWE46" s="80"/>
      <c r="WWF46" s="80"/>
      <c r="WWG46" s="80"/>
      <c r="WWH46" s="80"/>
      <c r="WWI46" s="80"/>
      <c r="WWJ46" s="80"/>
      <c r="WWK46" s="80"/>
      <c r="WWL46" s="80"/>
      <c r="WWM46" s="80"/>
      <c r="WWN46" s="80"/>
      <c r="WWO46" s="80"/>
      <c r="WWP46" s="80"/>
      <c r="WWQ46" s="80"/>
      <c r="WWR46" s="80"/>
      <c r="WWS46" s="80"/>
      <c r="WWT46" s="80"/>
      <c r="WWU46" s="80"/>
      <c r="WWV46" s="80"/>
      <c r="WWW46" s="80"/>
      <c r="WWX46" s="80"/>
      <c r="WWY46" s="80"/>
      <c r="WWZ46" s="80"/>
      <c r="WXA46" s="80"/>
      <c r="WXB46" s="80"/>
      <c r="WXC46" s="80"/>
      <c r="WXD46" s="80"/>
      <c r="WXE46" s="80"/>
      <c r="WXF46" s="80"/>
      <c r="WXG46" s="80"/>
      <c r="WXH46" s="80"/>
      <c r="WXI46" s="80"/>
      <c r="WXJ46" s="80"/>
      <c r="WXK46" s="80"/>
      <c r="WXL46" s="80"/>
      <c r="WXM46" s="80"/>
      <c r="WXN46" s="80"/>
      <c r="WXO46" s="80"/>
      <c r="WXP46" s="80"/>
      <c r="WXQ46" s="80"/>
      <c r="WXR46" s="80"/>
      <c r="WXS46" s="80"/>
      <c r="WXT46" s="80"/>
      <c r="WXU46" s="80"/>
      <c r="WXV46" s="80"/>
      <c r="WXW46" s="80"/>
      <c r="WXX46" s="80"/>
      <c r="WXY46" s="80"/>
      <c r="WXZ46" s="80"/>
      <c r="WYA46" s="80"/>
      <c r="WYB46" s="80"/>
      <c r="WYC46" s="80"/>
      <c r="WYD46" s="80"/>
      <c r="WYE46" s="80"/>
      <c r="WYF46" s="80"/>
      <c r="WYG46" s="80"/>
      <c r="WYH46" s="80"/>
      <c r="WYI46" s="80"/>
      <c r="WYJ46" s="80"/>
      <c r="WYK46" s="80"/>
      <c r="WYL46" s="80"/>
      <c r="WYM46" s="80"/>
      <c r="WYN46" s="80"/>
      <c r="WYO46" s="80"/>
      <c r="WYP46" s="80"/>
      <c r="WYQ46" s="80"/>
      <c r="WYR46" s="80"/>
      <c r="WYS46" s="80"/>
      <c r="WYT46" s="80"/>
      <c r="WYU46" s="80"/>
      <c r="WYV46" s="80"/>
      <c r="WYW46" s="80"/>
      <c r="WYX46" s="80"/>
      <c r="WYY46" s="80"/>
      <c r="WYZ46" s="80"/>
      <c r="WZA46" s="80"/>
      <c r="WZB46" s="80"/>
      <c r="WZC46" s="80"/>
      <c r="WZD46" s="80"/>
      <c r="WZE46" s="80"/>
      <c r="WZF46" s="80"/>
      <c r="WZG46" s="80"/>
      <c r="WZH46" s="80"/>
      <c r="WZI46" s="80"/>
      <c r="WZJ46" s="80"/>
      <c r="WZK46" s="80"/>
      <c r="WZL46" s="80"/>
      <c r="WZM46" s="80"/>
      <c r="WZN46" s="80"/>
      <c r="WZO46" s="80"/>
      <c r="WZP46" s="80"/>
      <c r="WZQ46" s="80"/>
      <c r="WZR46" s="80"/>
      <c r="WZS46" s="80"/>
      <c r="WZT46" s="80"/>
      <c r="WZU46" s="80"/>
      <c r="WZV46" s="80"/>
      <c r="WZW46" s="80"/>
      <c r="WZX46" s="80"/>
      <c r="WZY46" s="80"/>
      <c r="WZZ46" s="80"/>
      <c r="XAA46" s="80"/>
      <c r="XAB46" s="80"/>
      <c r="XAC46" s="80"/>
      <c r="XAD46" s="80"/>
      <c r="XAE46" s="80"/>
      <c r="XAF46" s="80"/>
      <c r="XAG46" s="80"/>
      <c r="XAH46" s="80"/>
      <c r="XAI46" s="80"/>
      <c r="XAJ46" s="80"/>
      <c r="XAK46" s="80"/>
      <c r="XAL46" s="80"/>
      <c r="XAM46" s="80"/>
      <c r="XAN46" s="80"/>
      <c r="XAO46" s="80"/>
      <c r="XAP46" s="80"/>
      <c r="XAQ46" s="80"/>
      <c r="XAR46" s="80"/>
      <c r="XAS46" s="80"/>
      <c r="XAT46" s="80"/>
      <c r="XAU46" s="80"/>
      <c r="XAV46" s="80"/>
      <c r="XAW46" s="80"/>
      <c r="XAX46" s="80"/>
      <c r="XAY46" s="80"/>
      <c r="XAZ46" s="80"/>
      <c r="XBA46" s="80"/>
      <c r="XBB46" s="80"/>
      <c r="XBC46" s="80"/>
      <c r="XBD46" s="80"/>
      <c r="XBE46" s="80"/>
      <c r="XBF46" s="80"/>
      <c r="XBG46" s="80"/>
      <c r="XBH46" s="80"/>
      <c r="XBI46" s="80"/>
      <c r="XBJ46" s="80"/>
      <c r="XBK46" s="80"/>
      <c r="XBL46" s="80"/>
      <c r="XBM46" s="80"/>
      <c r="XBN46" s="80"/>
      <c r="XBO46" s="80"/>
      <c r="XBP46" s="80"/>
      <c r="XBQ46" s="80"/>
      <c r="XBR46" s="80"/>
      <c r="XBS46" s="80"/>
      <c r="XBT46" s="80"/>
      <c r="XBU46" s="80"/>
      <c r="XBV46" s="80"/>
      <c r="XBW46" s="80"/>
      <c r="XBX46" s="80"/>
      <c r="XBY46" s="80"/>
      <c r="XBZ46" s="80"/>
      <c r="XCA46" s="80"/>
      <c r="XCB46" s="80"/>
      <c r="XCC46" s="80"/>
      <c r="XCD46" s="80"/>
      <c r="XCE46" s="80"/>
      <c r="XCF46" s="80"/>
      <c r="XCG46" s="80"/>
      <c r="XCH46" s="80"/>
      <c r="XCI46" s="80"/>
      <c r="XCJ46" s="80"/>
      <c r="XCK46" s="80"/>
      <c r="XCL46" s="80"/>
      <c r="XCM46" s="80"/>
      <c r="XCN46" s="80"/>
      <c r="XCO46" s="80"/>
      <c r="XCP46" s="80"/>
      <c r="XCQ46" s="80"/>
      <c r="XCR46" s="80"/>
      <c r="XCS46" s="80"/>
      <c r="XCT46" s="80"/>
      <c r="XCU46" s="80"/>
      <c r="XCV46" s="80"/>
      <c r="XCW46" s="80"/>
      <c r="XCX46" s="80"/>
      <c r="XCY46" s="80"/>
      <c r="XCZ46" s="80"/>
      <c r="XDA46" s="80"/>
      <c r="XDB46" s="80"/>
      <c r="XDC46" s="80"/>
      <c r="XDD46" s="80"/>
      <c r="XDE46" s="80"/>
      <c r="XDF46" s="80"/>
      <c r="XDG46" s="80"/>
      <c r="XDH46" s="80"/>
      <c r="XDI46" s="80"/>
      <c r="XDJ46" s="80"/>
      <c r="XDK46" s="80"/>
      <c r="XDL46" s="80"/>
      <c r="XDM46" s="80"/>
      <c r="XDN46" s="80"/>
      <c r="XDO46" s="80"/>
      <c r="XDP46" s="80"/>
      <c r="XDQ46" s="80"/>
      <c r="XDR46" s="80"/>
      <c r="XDS46" s="80"/>
      <c r="XDT46" s="80"/>
      <c r="XDU46" s="80"/>
      <c r="XDV46" s="80"/>
      <c r="XDW46" s="80"/>
      <c r="XDX46" s="80"/>
      <c r="XDY46" s="80"/>
      <c r="XDZ46" s="80"/>
      <c r="XEA46" s="80"/>
      <c r="XEB46" s="80"/>
      <c r="XEC46" s="80"/>
      <c r="XED46" s="80"/>
      <c r="XEE46" s="80"/>
      <c r="XEF46" s="80"/>
      <c r="XEG46" s="80"/>
      <c r="XEH46" s="80"/>
      <c r="XEI46" s="80"/>
      <c r="XEJ46" s="80"/>
      <c r="XEK46" s="80"/>
      <c r="XEL46" s="80"/>
      <c r="XEM46" s="80"/>
      <c r="XEN46" s="80"/>
      <c r="XEO46" s="80"/>
      <c r="XEP46" s="80"/>
      <c r="XEQ46" s="80"/>
      <c r="XER46" s="80"/>
      <c r="XES46" s="80"/>
      <c r="XET46" s="80"/>
      <c r="XEU46" s="80"/>
      <c r="XEV46" s="80"/>
      <c r="XEW46" s="80"/>
      <c r="XEX46" s="80"/>
      <c r="XEY46" s="80"/>
      <c r="XEZ46" s="80"/>
      <c r="XFA46" s="80"/>
      <c r="XFB46" s="80"/>
      <c r="XFC46" s="80"/>
    </row>
    <row r="47" spans="1:16383" s="66" customFormat="1">
      <c r="A47" s="227"/>
      <c r="B47" s="168" t="s">
        <v>147</v>
      </c>
      <c r="C47" s="168"/>
      <c r="D47" s="59"/>
      <c r="E47" s="59"/>
      <c r="F47" s="56"/>
      <c r="G47" s="56"/>
      <c r="H47" s="56"/>
      <c r="I47" s="251"/>
      <c r="J47" s="251"/>
      <c r="K47" s="251"/>
      <c r="L47" s="542" t="s">
        <v>289</v>
      </c>
      <c r="M47" s="542"/>
      <c r="N47" s="542"/>
      <c r="O47" s="543"/>
      <c r="P47" s="201" t="s">
        <v>146</v>
      </c>
      <c r="Q47" s="348">
        <f>IF($P$47="ja",SUMPRODUCT((WEEKDAY($B$14:$B$44,2)=1)*2),0)</f>
        <v>0</v>
      </c>
      <c r="R47" s="158"/>
      <c r="S47" s="171"/>
      <c r="T47" s="118"/>
      <c r="U47" s="118"/>
      <c r="V47" s="118"/>
      <c r="W47" s="118"/>
      <c r="X47" s="118"/>
      <c r="Y47" s="118"/>
      <c r="Z47" s="188"/>
      <c r="AA47" s="217"/>
      <c r="AB47" s="217"/>
      <c r="AC47" s="217"/>
      <c r="AD47" s="217"/>
      <c r="AE47" s="217"/>
      <c r="AF47" s="118"/>
      <c r="AG47" s="118"/>
      <c r="AH47" s="301"/>
    </row>
    <row r="48" spans="1:16383" s="66" customFormat="1">
      <c r="A48" s="227"/>
      <c r="B48" s="191" t="str">
        <f>"Verrechnung von Sonderzahlungen, Überstunden, Nachtgutstunden und Nachtdiensten erfolgt im Folgemonat"&amp;" "&amp;Start!$B$22</f>
        <v>Verrechnung von Sonderzahlungen, Überstunden, Nachtgutstunden und Nachtdiensten erfolgt im Folgemonat August</v>
      </c>
      <c r="C48" s="168"/>
      <c r="D48" s="59"/>
      <c r="E48" s="59"/>
      <c r="F48" s="56"/>
      <c r="G48" s="56"/>
      <c r="H48" s="82"/>
      <c r="I48" s="82"/>
      <c r="J48" s="83"/>
      <c r="K48" s="83"/>
      <c r="L48" s="538" t="s">
        <v>290</v>
      </c>
      <c r="M48" s="538"/>
      <c r="N48" s="538"/>
      <c r="O48" s="539"/>
      <c r="P48" s="204" t="s">
        <v>292</v>
      </c>
      <c r="Q48" s="347" t="str">
        <f>IF($P$48="Freizeit","       als Gutstunden abgerechnet","       im Folgemonat ausbezahlt")</f>
        <v xml:space="preserve">       als Gutstunden abgerechnet</v>
      </c>
      <c r="R48" s="203"/>
      <c r="S48" s="192"/>
      <c r="T48" s="118"/>
      <c r="U48" s="118"/>
      <c r="V48" s="118"/>
      <c r="W48" s="118"/>
      <c r="X48" s="118"/>
      <c r="Y48" s="118"/>
      <c r="Z48" s="188"/>
      <c r="AA48" s="217"/>
      <c r="AB48" s="217"/>
      <c r="AC48" s="217"/>
      <c r="AD48" s="217"/>
      <c r="AE48" s="217"/>
      <c r="AF48" s="118"/>
      <c r="AG48" s="118"/>
      <c r="AH48" s="301"/>
    </row>
    <row r="49" spans="1:34" s="66" customFormat="1" ht="15" thickBot="1">
      <c r="A49" s="227"/>
      <c r="B49" s="168"/>
      <c r="C49" s="168"/>
      <c r="D49" s="59"/>
      <c r="E49" s="59"/>
      <c r="F49" s="56"/>
      <c r="G49" s="56"/>
      <c r="H49" s="82"/>
      <c r="I49" s="82"/>
      <c r="J49" s="83"/>
      <c r="K49" s="83"/>
      <c r="L49" s="88"/>
      <c r="M49" s="88"/>
      <c r="N49" s="59"/>
      <c r="O49" s="59"/>
      <c r="P49" s="59"/>
      <c r="S49" s="56"/>
      <c r="T49" s="118"/>
      <c r="U49" s="118"/>
      <c r="V49" s="118"/>
      <c r="W49" s="118"/>
      <c r="X49" s="118"/>
      <c r="Y49" s="118"/>
      <c r="Z49" s="188"/>
      <c r="AA49" s="217"/>
      <c r="AB49" s="217"/>
      <c r="AC49" s="217"/>
      <c r="AD49" s="217"/>
      <c r="AE49" s="217"/>
      <c r="AF49" s="118"/>
      <c r="AG49" s="118"/>
      <c r="AH49" s="301"/>
    </row>
    <row r="50" spans="1:34" s="59" customFormat="1" ht="13" customHeight="1">
      <c r="A50" s="471"/>
      <c r="B50" s="452" t="s">
        <v>248</v>
      </c>
      <c r="C50" s="608" t="s">
        <v>249</v>
      </c>
      <c r="D50" s="608"/>
      <c r="E50" s="453" t="s">
        <v>412</v>
      </c>
      <c r="F50" s="272"/>
      <c r="G50" s="317" t="s">
        <v>83</v>
      </c>
      <c r="H50" s="318"/>
      <c r="I50" s="322"/>
      <c r="J50" s="322"/>
      <c r="K50" s="322"/>
      <c r="L50" s="319">
        <f>$Q$6</f>
        <v>5365.31</v>
      </c>
      <c r="N50" s="612" t="str">
        <f>"Monatsprofil"&amp;" "&amp;Start!$B$21</f>
        <v>Monatsprofil Juli</v>
      </c>
      <c r="O50" s="613"/>
      <c r="P50" s="614"/>
      <c r="T50" s="242"/>
      <c r="U50" s="242"/>
      <c r="V50" s="242"/>
      <c r="W50" s="242"/>
      <c r="X50" s="242"/>
      <c r="Y50" s="242"/>
      <c r="Z50" s="188"/>
      <c r="AA50" s="217"/>
      <c r="AB50" s="217"/>
      <c r="AC50" s="217"/>
      <c r="AD50" s="217"/>
      <c r="AE50" s="217"/>
      <c r="AF50" s="242"/>
      <c r="AG50" s="242"/>
      <c r="AH50" s="302"/>
    </row>
    <row r="51" spans="1:34" s="89" customFormat="1" ht="13" customHeight="1">
      <c r="A51" s="227"/>
      <c r="B51" s="355">
        <f>COUNTIF($D$14:$E$44,"U")-COUNTIFS($D$14:$D$44,"U",$E$14:$E$44,"K")-COUNTIFS($D$14:$D$44,"U",$E$14:$E$44,"PK")</f>
        <v>0</v>
      </c>
      <c r="C51" s="454" t="s">
        <v>18</v>
      </c>
      <c r="D51" s="455">
        <f>SUMIFS($P$14:$P$44,$D$14:$D$44,"U")+SUMIFS($P$14:$P$44,$E$14:$E$44,"U")</f>
        <v>0</v>
      </c>
      <c r="E51" s="456"/>
      <c r="F51" s="316"/>
      <c r="G51" s="341" t="s">
        <v>354</v>
      </c>
      <c r="H51" s="342"/>
      <c r="I51" s="343"/>
      <c r="J51" s="343"/>
      <c r="K51" s="343"/>
      <c r="L51" s="344">
        <f>IF(OR(Start!$D$8=Gehalt!$K$37,Start!$D$8=Gehalt!$K$39,Start!$D$8=Gehalt!$K$41),Gehalt!$C$29,0)</f>
        <v>0</v>
      </c>
      <c r="N51" s="615"/>
      <c r="O51" s="616"/>
      <c r="P51" s="617"/>
      <c r="T51" s="278" t="s">
        <v>398</v>
      </c>
      <c r="U51" s="119">
        <f>SUMPRODUCT(($U$14:$U$44)*(ISNUMBER(FIND("Ft",$A$14:$A$44))))+SUMPRODUCT((($U$14:$U$44)*1)*(WEEKDAY($B$14:$B$44,2)=7))-SUMPRODUCT((($U$14:$U$44)*1)*(WEEKDAY($B$14:$B$44,2)=7)*(ISNUMBER(FIND("Ft",$A$14:$A$44))))</f>
        <v>0</v>
      </c>
      <c r="V51" s="119">
        <f>SUMPRODUCT(($V$14:$V$44)*(ISNUMBER(FIND("Ft",$A$14:$A$44))))+SUMPRODUCT((($V$14:$V$44)*1)*(WEEKDAY($B$14:$B$44,2)=7))-SUMPRODUCT((($V$14:$V$44)*1)*(WEEKDAY($B$14:$B$44,2)=7)*(ISNUMBER(FIND("Ft",$A$14:$A$44))))</f>
        <v>0</v>
      </c>
      <c r="W51" s="119">
        <f>SUM($W$14:$W$44)</f>
        <v>0</v>
      </c>
      <c r="X51" s="255"/>
      <c r="Y51" s="256"/>
      <c r="Z51" s="278" t="s">
        <v>398</v>
      </c>
      <c r="AA51" s="214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14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14">
        <f>SUM($AC$14:$AC$44)</f>
        <v>0</v>
      </c>
      <c r="AD51" s="214">
        <f>SUM($AD$14:$AD$44)</f>
        <v>0</v>
      </c>
      <c r="AE51" s="217"/>
      <c r="AF51" s="188"/>
      <c r="AG51" s="278" t="s">
        <v>398</v>
      </c>
      <c r="AH51" s="214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1:34" s="89" customFormat="1" ht="13" customHeight="1">
      <c r="A52" s="227"/>
      <c r="B52" s="355">
        <f>COUNTIF($D$14:$E$44,"ZA")-COUNTIFS($D$14:$D$44,"ZA",$E$14:$E$44,"K")-COUNTIFS($D$14:$D$44,"ZA",$E$14:$E$44,"PK")</f>
        <v>0</v>
      </c>
      <c r="C52" s="454" t="s">
        <v>21</v>
      </c>
      <c r="D52" s="457">
        <f>SUMIFS($P$14:$P$44,$D$14:$D$44,"ZA")+SUMIFS($P$14:$P$44,$E$14:$E$44,"ZA")-$J$45</f>
        <v>0</v>
      </c>
      <c r="E52" s="458">
        <f>IF($P$48="Freizeit",SUM($N$45*1.5,$O$45*2),0)+$J$54*1.5</f>
        <v>0</v>
      </c>
      <c r="F52" s="272"/>
      <c r="G52" s="323" t="str">
        <f>"9545 Nachtdienstpauschale Gesamt ("&amp;""&amp;Gehalt!$I$25&amp;""&amp;"€/h)"</f>
        <v>9545 Nachtdienstpauschale Gesamt (29,44€/h)</v>
      </c>
      <c r="H52" s="151"/>
      <c r="I52" s="151"/>
      <c r="J52" s="151"/>
      <c r="K52" s="264">
        <f>SUM($AF$14:$AG$44)</f>
        <v>0</v>
      </c>
      <c r="L52" s="226">
        <f>$K$52*Gehalt!$I$25</f>
        <v>0</v>
      </c>
      <c r="N52" s="540" t="s">
        <v>237</v>
      </c>
      <c r="O52" s="541"/>
      <c r="P52" s="352">
        <f>VLOOKUP($B$8,Datenblatt!$A$100:$I$112,2,FALSE)</f>
        <v>31</v>
      </c>
      <c r="T52" s="279" t="s">
        <v>104</v>
      </c>
      <c r="U52" s="269">
        <f>SUM($U$14:$U$44)-$U$51</f>
        <v>0</v>
      </c>
      <c r="V52" s="269">
        <f>SUM($V$14:$V$44)-$V$51</f>
        <v>0</v>
      </c>
      <c r="W52" s="257"/>
      <c r="X52" s="265"/>
      <c r="Y52" s="256"/>
      <c r="Z52" s="280" t="s">
        <v>104</v>
      </c>
      <c r="AA52" s="214">
        <f>SUM($AA$14:$AA$44)-$AA$51</f>
        <v>0</v>
      </c>
      <c r="AB52" s="214">
        <f>SUM($AB$14:$AB$44)-$AB$51</f>
        <v>0</v>
      </c>
      <c r="AC52" s="260"/>
      <c r="AD52" s="261"/>
      <c r="AE52" s="217"/>
      <c r="AF52" s="188"/>
      <c r="AG52" s="280" t="s">
        <v>104</v>
      </c>
      <c r="AH52" s="214">
        <f>SUM($AH$14:$AH$44)-$AH$51</f>
        <v>0</v>
      </c>
    </row>
    <row r="53" spans="1:34" s="89" customFormat="1" ht="13" customHeight="1">
      <c r="A53" s="227"/>
      <c r="B53" s="355">
        <f>COUNTIF($D$14:$E$44,"RG")-COUNTIFS($D$14:$D$44,"U",$E$14:$E$44,"RG")-COUNTIFS($D$14:$D$44,"RG",$E$14:$E$44,"PK")</f>
        <v>0</v>
      </c>
      <c r="C53" s="359" t="s">
        <v>132</v>
      </c>
      <c r="D53" s="455">
        <f>SUMIFS($P$14:$P$44,$D$14:$D$44,"RG")+SUMIFS($P$14:$P$44,$E$14:$E$44,"RG")</f>
        <v>0</v>
      </c>
      <c r="E53" s="459">
        <f>$Q$47</f>
        <v>0</v>
      </c>
      <c r="G53" s="323" t="str">
        <f>"9547 Sonn- und Feiertagszulage ("&amp;""&amp;Gehalt!$I$26&amp;""&amp;"€/h)"</f>
        <v>9547 Sonn- und Feiertagszulage (18,5€/h)</v>
      </c>
      <c r="H53" s="151"/>
      <c r="I53" s="151"/>
      <c r="J53" s="151"/>
      <c r="K53" s="22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26">
        <f>$K$53*Gehalt!$I$26</f>
        <v>0</v>
      </c>
      <c r="N53" s="540" t="s">
        <v>238</v>
      </c>
      <c r="O53" s="541"/>
      <c r="P53" s="352">
        <f>VLOOKUP($B$8,Datenblatt!$A$100:$I$112,3,FALSE)</f>
        <v>0</v>
      </c>
      <c r="T53" s="277" t="s">
        <v>399</v>
      </c>
      <c r="U53" s="112">
        <f>SUMPRODUCT(($U$14:$U$44)*(ISNUMBER(FIND("Ft",$A$14:$A$44))))+SUMPRODUCT((($U$14:$U$44)*1)*(WEEKDAY($B$14:$B$44,2)=7))-SUMPRODUCT((($U$14:$U$44)*1)*(WEEKDAY($B$14:$B$44,2)=7)*(ISNUMBER(FIND("Ft",$A$14:$A$44))))</f>
        <v>0</v>
      </c>
      <c r="V53" s="112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270"/>
      <c r="X53" s="112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12">
        <f>SUMPRODUCT(($Y$14:$Y$44)*(ISNUMBER(FIND("Ft",$A$14:$A$44))))+SUMPRODUCT((($Y$14:$Y$44)*1)*(WEEKDAY($B$14:$B$44,2)=7))-SUMPRODUCT((($Y$14:$Y$44)*1)*(WEEKDAY($B$14:$B$44,2)=7)*(ISNUMBER(FIND("Ft",$A$14:$A$44))))</f>
        <v>0</v>
      </c>
      <c r="Z53" s="258"/>
      <c r="AA53" s="258"/>
      <c r="AB53" s="258"/>
      <c r="AC53" s="259"/>
      <c r="AD53" s="259"/>
      <c r="AE53" s="188"/>
      <c r="AF53" s="188"/>
      <c r="AG53" s="188"/>
      <c r="AH53" s="302"/>
    </row>
    <row r="54" spans="1:34" s="89" customFormat="1" ht="13" customHeight="1">
      <c r="A54" s="227"/>
      <c r="B54" s="355">
        <f>COUNTIF($D$14:$E$44,"NDG")-COUNTIFS($D$14:$D$44,"NDG",$E$14:$E$44,"K")-COUNTIFS($D$14:$D$44,"NDG",$E$14:$E$44,"PK")</f>
        <v>0</v>
      </c>
      <c r="C54" s="359" t="s">
        <v>131</v>
      </c>
      <c r="D54" s="455">
        <f>SUMIFS($P$14:$P$44,$D$14:$D$44,"NDG")+SUMIFS($P$14:$P$44,$E$14:$E$44,"NDG")</f>
        <v>0</v>
      </c>
      <c r="E54" s="459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609" t="s">
        <v>295</v>
      </c>
      <c r="H54" s="610"/>
      <c r="I54" s="611"/>
      <c r="J54" s="390">
        <v>0</v>
      </c>
      <c r="K54" s="225">
        <f>IF($P$48="finanziell",SUM($L$62),0)+$L$66+$L$70-$J$54</f>
        <v>0</v>
      </c>
      <c r="L54" s="226">
        <f>$K$54*$L$60</f>
        <v>0</v>
      </c>
      <c r="M54" s="56"/>
      <c r="N54" s="540" t="s">
        <v>239</v>
      </c>
      <c r="O54" s="541"/>
      <c r="P54" s="352">
        <f>VLOOKUP($B$8,Datenblatt!$A$100:$I$112,4,FALSE)</f>
        <v>8</v>
      </c>
      <c r="Q54" s="56"/>
      <c r="T54" s="242"/>
      <c r="U54" s="242"/>
      <c r="V54" s="242"/>
      <c r="W54" s="188"/>
      <c r="X54" s="188"/>
      <c r="Y54" s="188"/>
      <c r="Z54" s="242"/>
      <c r="AA54" s="242"/>
      <c r="AB54" s="242"/>
      <c r="AC54" s="188"/>
      <c r="AD54" s="188"/>
      <c r="AE54" s="188"/>
      <c r="AF54" s="188"/>
      <c r="AG54" s="188"/>
      <c r="AH54" s="302"/>
    </row>
    <row r="55" spans="1:34" s="89" customFormat="1" ht="13" customHeight="1">
      <c r="A55" s="227"/>
      <c r="B55" s="460"/>
      <c r="C55" s="359" t="s">
        <v>170</v>
      </c>
      <c r="D55" s="455">
        <f>SUMIFS($M$14:$M$44,$D$14:$D$44,"U")</f>
        <v>0</v>
      </c>
      <c r="E55" s="456"/>
      <c r="G55" s="323" t="s">
        <v>227</v>
      </c>
      <c r="H55" s="151"/>
      <c r="I55" s="151"/>
      <c r="J55" s="151"/>
      <c r="K55" s="225">
        <f>IF($P$48="finanziell",SUM($L$63),0)+$L$71+$L$67</f>
        <v>0</v>
      </c>
      <c r="L55" s="226">
        <f>$K$55*$L$61</f>
        <v>0</v>
      </c>
      <c r="M55" s="59"/>
      <c r="N55" s="540" t="s">
        <v>240</v>
      </c>
      <c r="O55" s="541"/>
      <c r="P55" s="352">
        <f>VLOOKUP($B$8,Datenblatt!$A$100:$I$112,5,FALSE)</f>
        <v>23</v>
      </c>
      <c r="T55" s="242"/>
      <c r="U55" s="242"/>
      <c r="V55" s="242"/>
      <c r="W55" s="188"/>
      <c r="X55" s="188"/>
      <c r="Y55" s="188"/>
      <c r="Z55" s="242"/>
      <c r="AA55" s="242"/>
      <c r="AB55" s="242"/>
      <c r="AC55" s="188"/>
      <c r="AD55" s="188"/>
      <c r="AE55" s="188"/>
      <c r="AF55" s="188"/>
      <c r="AG55" s="188"/>
      <c r="AH55" s="302"/>
    </row>
    <row r="56" spans="1:34" s="89" customFormat="1" ht="13" customHeight="1">
      <c r="A56" s="227"/>
      <c r="B56" s="355">
        <f>COUNTIF($D$14:$E$44,"SU")-COUNTIFS($D$14:$D$44,"SU",$E$14:$E$44,"K")-COUNTIFS($D$14:$D$44,"SU",$E$14:$E$44,"PK")</f>
        <v>0</v>
      </c>
      <c r="C56" s="359" t="s">
        <v>172</v>
      </c>
      <c r="D56" s="455">
        <f>SUMIFS($M$14:$M$44,$D$14:$D$44,"SU")</f>
        <v>0</v>
      </c>
      <c r="E56" s="456"/>
      <c r="G56" s="323" t="s">
        <v>285</v>
      </c>
      <c r="H56" s="151"/>
      <c r="I56" s="151"/>
      <c r="J56" s="151"/>
      <c r="K56" s="394">
        <f ca="1">IF(Juni!$P$63-SUM(Start!$E$16:$E$21)*2&lt;=0,0,Juni!$P$63-SUM(Start!$E$16:$E$21)*2)</f>
        <v>0</v>
      </c>
      <c r="L56" s="226">
        <f ca="1">$K$56*(ROUNDDOWN((($Q$6-35)/173*1),2))</f>
        <v>0</v>
      </c>
      <c r="N56" s="540" t="s">
        <v>241</v>
      </c>
      <c r="O56" s="541"/>
      <c r="P56" s="352">
        <f>VLOOKUP($B$8,Datenblatt!$A$100:$I$112,7,FALSE)</f>
        <v>23</v>
      </c>
      <c r="T56" s="242"/>
      <c r="U56" s="242"/>
      <c r="V56" s="242"/>
      <c r="W56" s="188"/>
      <c r="X56" s="188"/>
      <c r="Y56" s="188"/>
      <c r="Z56" s="242"/>
      <c r="AA56" s="242"/>
      <c r="AB56" s="242"/>
      <c r="AC56" s="188"/>
      <c r="AD56" s="188"/>
      <c r="AE56" s="188"/>
      <c r="AF56" s="188"/>
      <c r="AG56" s="188"/>
      <c r="AH56" s="302"/>
    </row>
    <row r="57" spans="1:34" s="89" customFormat="1" ht="13" customHeight="1">
      <c r="A57" s="227"/>
      <c r="B57" s="355">
        <f>COUNTIF($D$14:$E$44,"PK")</f>
        <v>0</v>
      </c>
      <c r="C57" s="359" t="s">
        <v>171</v>
      </c>
      <c r="D57" s="455">
        <f>SUMIFS($M$14:$M$44,$D$14:$D$44,"PK")</f>
        <v>0</v>
      </c>
      <c r="E57" s="456"/>
      <c r="G57" s="391" t="s">
        <v>297</v>
      </c>
      <c r="H57" s="392"/>
      <c r="I57" s="392"/>
      <c r="J57" s="151"/>
      <c r="K57" s="225">
        <f>IF(OR(Start!$D$8=Gehalt!$K$37,Start!$D$8=Gehalt!$K$39,Start!$D$8=Gehalt!$K$41),SUMIFS($M$14:$M$44,$Q$14:$Q$44,"=Tagdienst*",$E$14:$E$44,"&lt;&gt;*")+SUMIFS($AH$14:$AH$44,$R$14:$R$44,"=Tagdienst*"),0)</f>
        <v>0</v>
      </c>
      <c r="L57" s="226">
        <f>$K$57*Gehalt!$C$28</f>
        <v>0</v>
      </c>
      <c r="N57" s="540" t="s">
        <v>236</v>
      </c>
      <c r="O57" s="541"/>
      <c r="P57" s="352">
        <f>VLOOKUP($B$8,Datenblatt!$A$100:$I$112,6,FALSE)</f>
        <v>184</v>
      </c>
      <c r="T57" s="242"/>
      <c r="U57" s="242"/>
      <c r="V57" s="242"/>
      <c r="W57" s="188"/>
      <c r="X57" s="188"/>
      <c r="Y57" s="188"/>
      <c r="Z57" s="242"/>
      <c r="AA57" s="242"/>
      <c r="AB57" s="242"/>
      <c r="AC57" s="188"/>
      <c r="AD57" s="188"/>
      <c r="AE57" s="188"/>
      <c r="AF57" s="188"/>
      <c r="AG57" s="188"/>
      <c r="AH57" s="302"/>
    </row>
    <row r="58" spans="1:34" s="89" customFormat="1" ht="13" customHeight="1">
      <c r="A58" s="227"/>
      <c r="B58" s="355">
        <f>COUNTIF($D$14:$E$44,"K")+COUNTIF($D$14:$E$44,"KA")</f>
        <v>0</v>
      </c>
      <c r="C58" s="359" t="s">
        <v>418</v>
      </c>
      <c r="D58" s="455">
        <f>SUMIFS($M$14:$M$44,$D$14:$D$44,"K")+SUMIFS($M$14:$M$44,$D$14:$D$44,"KA")</f>
        <v>0</v>
      </c>
      <c r="E58" s="456"/>
      <c r="G58" s="323" t="s">
        <v>296</v>
      </c>
      <c r="H58" s="151"/>
      <c r="I58" s="151"/>
      <c r="J58" s="393" t="s">
        <v>146</v>
      </c>
      <c r="K58" s="225"/>
      <c r="L58" s="226">
        <f>IF($J$58="ja",Gehalt!$C$27,0)</f>
        <v>0</v>
      </c>
      <c r="N58" s="618" t="str">
        <f>"Stundenkonto Monatsende"&amp;" "&amp;Start!$B$21</f>
        <v>Stundenkonto Monatsende Juli</v>
      </c>
      <c r="O58" s="619"/>
      <c r="P58" s="620"/>
      <c r="T58" s="242"/>
      <c r="U58" s="242"/>
      <c r="V58" s="242"/>
      <c r="W58" s="188"/>
      <c r="X58" s="188"/>
      <c r="Y58" s="188"/>
      <c r="Z58" s="242"/>
      <c r="AA58" s="242"/>
      <c r="AB58" s="242"/>
      <c r="AC58" s="188"/>
      <c r="AD58" s="188"/>
      <c r="AE58" s="188"/>
      <c r="AF58" s="188"/>
      <c r="AG58" s="188"/>
      <c r="AH58" s="302"/>
    </row>
    <row r="59" spans="1:34" s="89" customFormat="1" ht="13" customHeight="1" thickBot="1">
      <c r="A59" s="227"/>
      <c r="B59" s="460"/>
      <c r="C59" s="359" t="s">
        <v>19</v>
      </c>
      <c r="D59" s="455">
        <f>COUNTIF($L$14:$L$44,"n.b.")</f>
        <v>0</v>
      </c>
      <c r="E59" s="456"/>
      <c r="G59" s="229" t="s">
        <v>362</v>
      </c>
      <c r="H59" s="230"/>
      <c r="I59" s="230"/>
      <c r="J59" s="230"/>
      <c r="K59" s="338"/>
      <c r="L59" s="228">
        <f ca="1">SUM(L52:L57)*12%</f>
        <v>0</v>
      </c>
      <c r="N59" s="615"/>
      <c r="O59" s="616"/>
      <c r="P59" s="617"/>
      <c r="T59" s="242"/>
      <c r="U59" s="188"/>
      <c r="V59" s="188"/>
      <c r="W59" s="188"/>
      <c r="X59" s="188"/>
      <c r="Y59" s="188"/>
      <c r="Z59" s="242"/>
      <c r="AA59" s="188"/>
      <c r="AB59" s="188"/>
      <c r="AC59" s="188"/>
      <c r="AD59" s="188"/>
      <c r="AE59" s="188"/>
      <c r="AF59" s="188"/>
      <c r="AG59" s="188"/>
      <c r="AH59" s="302"/>
    </row>
    <row r="60" spans="1:34" s="89" customFormat="1" ht="13" customHeight="1">
      <c r="A60" s="227"/>
      <c r="B60" s="355">
        <f>COUNTIF($D$14:$E$44,"DV")</f>
        <v>0</v>
      </c>
      <c r="C60" s="359" t="s">
        <v>111</v>
      </c>
      <c r="D60" s="455">
        <f>SUMIFS($P$14:$P$44,$D$14:$D$44,"DV")+SUMIFS($P$14:$P$44,$E$14:$E$44,"DV")</f>
        <v>0</v>
      </c>
      <c r="E60" s="456"/>
      <c r="G60" s="238" t="s">
        <v>298</v>
      </c>
      <c r="H60" s="239"/>
      <c r="I60" s="240"/>
      <c r="J60" s="240"/>
      <c r="K60" s="240"/>
      <c r="L60" s="241">
        <f>IF($Q$6="",0,ROUNDDOWN((($Q$6-35)/173*1.5),2))</f>
        <v>46.21</v>
      </c>
      <c r="N60" s="540" t="s">
        <v>234</v>
      </c>
      <c r="O60" s="541"/>
      <c r="P60" s="352">
        <f>Start!$C$30+SUM(Jänner:Juli!$D$51)</f>
        <v>0</v>
      </c>
      <c r="T60" s="244"/>
      <c r="U60" s="188"/>
      <c r="V60" s="188"/>
      <c r="W60" s="188"/>
      <c r="X60" s="188"/>
      <c r="Y60" s="188"/>
      <c r="Z60" s="244"/>
      <c r="AA60" s="188"/>
      <c r="AB60" s="188"/>
      <c r="AC60" s="188"/>
      <c r="AD60" s="188"/>
      <c r="AE60" s="188"/>
      <c r="AF60" s="188"/>
      <c r="AG60" s="188"/>
      <c r="AH60" s="302"/>
    </row>
    <row r="61" spans="1:34" s="89" customFormat="1" ht="13" customHeight="1">
      <c r="A61" s="227"/>
      <c r="B61" s="355">
        <f>COUNTIF($D$14:$E$44,"WR")</f>
        <v>0</v>
      </c>
      <c r="C61" s="359" t="s">
        <v>126</v>
      </c>
      <c r="D61" s="466"/>
      <c r="E61" s="456"/>
      <c r="G61" s="360" t="s">
        <v>400</v>
      </c>
      <c r="H61" s="358"/>
      <c r="I61" s="357"/>
      <c r="J61" s="357"/>
      <c r="K61" s="357"/>
      <c r="L61" s="356">
        <f>IF($Q$6="",0,ROUNDDOWN((($Q$6-35)/173*2),2))</f>
        <v>61.62</v>
      </c>
      <c r="N61" s="540" t="s">
        <v>235</v>
      </c>
      <c r="O61" s="541"/>
      <c r="P61" s="353">
        <f>Start!$C$31+SUM(Jänner:Juli!$D$52)+SUM(Jänner:Juli!$E$52)</f>
        <v>0</v>
      </c>
      <c r="T61" s="244"/>
      <c r="U61" s="188"/>
      <c r="V61" s="188"/>
      <c r="W61" s="188"/>
      <c r="X61" s="188"/>
      <c r="Y61" s="188"/>
      <c r="Z61" s="244"/>
      <c r="AA61" s="188"/>
      <c r="AB61" s="188"/>
      <c r="AC61" s="188"/>
      <c r="AD61" s="188"/>
      <c r="AE61" s="188"/>
      <c r="AF61" s="188"/>
      <c r="AG61" s="188"/>
      <c r="AH61" s="302"/>
    </row>
    <row r="62" spans="1:34" s="59" customFormat="1" ht="13" customHeight="1">
      <c r="A62" s="471"/>
      <c r="B62" s="478"/>
      <c r="C62" s="478"/>
      <c r="D62" s="478"/>
      <c r="E62" s="478"/>
      <c r="G62" s="374" t="s">
        <v>392</v>
      </c>
      <c r="H62" s="375"/>
      <c r="I62" s="125"/>
      <c r="J62" s="125"/>
      <c r="K62" s="125"/>
      <c r="L62" s="376">
        <f>SUM($N$14:$N$44)</f>
        <v>0</v>
      </c>
      <c r="M62" s="89"/>
      <c r="N62" s="540" t="s">
        <v>148</v>
      </c>
      <c r="O62" s="541"/>
      <c r="P62" s="352">
        <f>Start!$C$32+SUM(Jänner:Juli!$D$53)+SUM(Jänner:Juli!$E$53)</f>
        <v>0</v>
      </c>
      <c r="Q62" s="89"/>
      <c r="T62" s="244"/>
      <c r="U62" s="242"/>
      <c r="V62" s="242"/>
      <c r="W62" s="242"/>
      <c r="X62" s="242"/>
      <c r="Y62" s="242"/>
      <c r="Z62" s="244"/>
      <c r="AA62" s="242"/>
      <c r="AB62" s="242"/>
      <c r="AC62" s="242"/>
      <c r="AD62" s="242"/>
      <c r="AE62" s="242"/>
      <c r="AF62" s="242"/>
      <c r="AG62" s="242"/>
      <c r="AH62" s="302"/>
    </row>
    <row r="63" spans="1:34" s="59" customFormat="1" ht="13" customHeight="1">
      <c r="A63" s="471"/>
      <c r="G63" s="374" t="s">
        <v>102</v>
      </c>
      <c r="H63" s="375"/>
      <c r="I63" s="125"/>
      <c r="J63" s="125"/>
      <c r="K63" s="125"/>
      <c r="L63" s="376">
        <f>SUM($O$14:$O$44)</f>
        <v>0</v>
      </c>
      <c r="M63" s="89"/>
      <c r="N63" s="544" t="s">
        <v>166</v>
      </c>
      <c r="O63" s="545"/>
      <c r="P63" s="354">
        <f ca="1">Start!$C$33+SUM(Jänner:Juli!$D$54)+SUM(Jänner:Juli!$E$54)-SUM(Jänner:Juli!$K$56)</f>
        <v>0</v>
      </c>
      <c r="Q63" s="89"/>
      <c r="T63" s="244"/>
      <c r="U63" s="242"/>
      <c r="V63" s="242"/>
      <c r="W63" s="242"/>
      <c r="X63" s="242"/>
      <c r="Y63" s="242"/>
      <c r="Z63" s="244"/>
      <c r="AA63" s="242"/>
      <c r="AB63" s="242"/>
      <c r="AC63" s="242"/>
      <c r="AD63" s="242"/>
      <c r="AE63" s="242"/>
      <c r="AF63" s="242"/>
      <c r="AG63" s="242"/>
      <c r="AH63" s="302"/>
    </row>
    <row r="64" spans="1:34" s="59" customFormat="1" ht="13" customHeight="1">
      <c r="A64" s="471"/>
      <c r="E64" s="140"/>
      <c r="G64" s="374" t="s">
        <v>98</v>
      </c>
      <c r="H64" s="375"/>
      <c r="I64" s="125"/>
      <c r="J64" s="125"/>
      <c r="K64" s="125"/>
      <c r="L64" s="377">
        <f>$L$62*$L$60</f>
        <v>0</v>
      </c>
      <c r="M64" s="89"/>
      <c r="N64" s="546" t="str">
        <f>"Bisheriger Verbrauch"&amp;" "&amp;Start!$D$2</f>
        <v>Bisheriger Verbrauch 2024</v>
      </c>
      <c r="O64" s="547"/>
      <c r="P64" s="548"/>
      <c r="Q64" s="89"/>
      <c r="T64" s="244"/>
      <c r="U64" s="242"/>
      <c r="V64" s="242"/>
      <c r="W64" s="242"/>
      <c r="X64" s="242"/>
      <c r="Y64" s="242"/>
      <c r="Z64" s="244"/>
      <c r="AA64" s="242"/>
      <c r="AB64" s="242"/>
      <c r="AC64" s="242"/>
      <c r="AD64" s="242"/>
      <c r="AE64" s="242"/>
      <c r="AF64" s="242"/>
      <c r="AG64" s="242"/>
      <c r="AH64" s="302"/>
    </row>
    <row r="65" spans="1:34" s="59" customFormat="1" ht="13" customHeight="1">
      <c r="A65" s="471"/>
      <c r="E65" s="140"/>
      <c r="G65" s="267" t="s">
        <v>99</v>
      </c>
      <c r="H65" s="268"/>
      <c r="I65" s="378"/>
      <c r="J65" s="378"/>
      <c r="K65" s="378"/>
      <c r="L65" s="379">
        <f>$L$63*$L$61</f>
        <v>0</v>
      </c>
      <c r="M65" s="89"/>
      <c r="N65" s="549"/>
      <c r="O65" s="550"/>
      <c r="P65" s="551"/>
      <c r="Q65" s="89"/>
      <c r="T65" s="244"/>
      <c r="U65" s="242"/>
      <c r="V65" s="242"/>
      <c r="W65" s="242"/>
      <c r="X65" s="242"/>
      <c r="Y65" s="242"/>
      <c r="Z65" s="244"/>
      <c r="AA65" s="242"/>
      <c r="AB65" s="242"/>
      <c r="AC65" s="242"/>
      <c r="AD65" s="242"/>
      <c r="AE65" s="242"/>
      <c r="AF65" s="242"/>
      <c r="AG65" s="242"/>
      <c r="AH65" s="302"/>
    </row>
    <row r="66" spans="1:34" s="59" customFormat="1" ht="13" customHeight="1">
      <c r="A66" s="471"/>
      <c r="E66" s="140"/>
      <c r="G66" s="380" t="s">
        <v>228</v>
      </c>
      <c r="H66" s="381"/>
      <c r="I66" s="382"/>
      <c r="J66" s="382"/>
      <c r="K66" s="382"/>
      <c r="L66" s="376">
        <f>SUM($U$52:$V$52)+$AH$52</f>
        <v>0</v>
      </c>
      <c r="N66" s="533" t="s">
        <v>234</v>
      </c>
      <c r="O66" s="534"/>
      <c r="P66" s="398">
        <f>SUM(Jänner:Juli!$D$51)</f>
        <v>0</v>
      </c>
      <c r="T66" s="244"/>
      <c r="U66" s="242"/>
      <c r="V66" s="242"/>
      <c r="W66" s="242"/>
      <c r="X66" s="242"/>
      <c r="Y66" s="242"/>
      <c r="Z66" s="244"/>
      <c r="AA66" s="242"/>
      <c r="AB66" s="242"/>
      <c r="AC66" s="242"/>
      <c r="AD66" s="242"/>
      <c r="AE66" s="242"/>
      <c r="AF66" s="242"/>
      <c r="AG66" s="242"/>
      <c r="AH66" s="302"/>
    </row>
    <row r="67" spans="1:34" s="59" customFormat="1" ht="13" customHeight="1">
      <c r="A67" s="471"/>
      <c r="D67" s="140"/>
      <c r="E67" s="140"/>
      <c r="G67" s="380" t="s">
        <v>103</v>
      </c>
      <c r="H67" s="381"/>
      <c r="I67" s="382"/>
      <c r="J67" s="382"/>
      <c r="K67" s="382"/>
      <c r="L67" s="376">
        <f>SUM($U$51:$W$51)+$AH$51</f>
        <v>0</v>
      </c>
      <c r="N67" s="533" t="s">
        <v>235</v>
      </c>
      <c r="O67" s="534"/>
      <c r="P67" s="398">
        <f>SUM(Jänner:Juli!$D$52)</f>
        <v>0</v>
      </c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42"/>
      <c r="AG67" s="242"/>
      <c r="AH67" s="302"/>
    </row>
    <row r="68" spans="1:34" s="59" customFormat="1" ht="13" customHeight="1">
      <c r="A68" s="471"/>
      <c r="D68" s="140"/>
      <c r="E68" s="140"/>
      <c r="G68" s="121" t="s">
        <v>100</v>
      </c>
      <c r="H68" s="122"/>
      <c r="I68" s="125"/>
      <c r="J68" s="125"/>
      <c r="K68" s="125"/>
      <c r="L68" s="377">
        <f>$L$66*$L$60</f>
        <v>0</v>
      </c>
      <c r="N68" s="533" t="s">
        <v>148</v>
      </c>
      <c r="O68" s="534"/>
      <c r="P68" s="398">
        <f>SUM(Jänner:Juli!$D$53)</f>
        <v>0</v>
      </c>
      <c r="T68" s="242"/>
      <c r="U68" s="242"/>
      <c r="V68" s="242"/>
      <c r="W68" s="242"/>
      <c r="X68" s="242"/>
      <c r="Y68" s="242"/>
      <c r="Z68" s="242"/>
      <c r="AA68" s="242"/>
      <c r="AB68" s="242"/>
      <c r="AC68" s="242"/>
      <c r="AD68" s="242"/>
      <c r="AE68" s="242"/>
      <c r="AF68" s="242"/>
      <c r="AG68" s="242"/>
      <c r="AH68" s="302"/>
    </row>
    <row r="69" spans="1:34" s="59" customFormat="1" ht="13" customHeight="1">
      <c r="A69" s="471"/>
      <c r="D69" s="140"/>
      <c r="E69" s="140"/>
      <c r="G69" s="383" t="s">
        <v>101</v>
      </c>
      <c r="H69" s="384"/>
      <c r="I69" s="378"/>
      <c r="J69" s="378"/>
      <c r="K69" s="378"/>
      <c r="L69" s="379">
        <f>$L$67*$L$61</f>
        <v>0</v>
      </c>
      <c r="N69" s="621" t="s">
        <v>166</v>
      </c>
      <c r="O69" s="622"/>
      <c r="P69" s="399">
        <f>SUM(Jänner:Juli!$D$54)</f>
        <v>0</v>
      </c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302"/>
    </row>
    <row r="70" spans="1:34" s="59" customFormat="1" ht="13" customHeight="1">
      <c r="A70" s="471"/>
      <c r="D70" s="140"/>
      <c r="E70" s="140"/>
      <c r="G70" s="374" t="s">
        <v>393</v>
      </c>
      <c r="H70" s="375"/>
      <c r="I70" s="125"/>
      <c r="J70" s="125"/>
      <c r="K70" s="125"/>
      <c r="L70" s="376">
        <f>SUM($AA$52:$AB$52)</f>
        <v>0</v>
      </c>
      <c r="N70" s="604" t="s">
        <v>389</v>
      </c>
      <c r="O70" s="605"/>
      <c r="P70" s="451">
        <f>SUM(Jänner:Juli!$B$56)</f>
        <v>0</v>
      </c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302"/>
    </row>
    <row r="71" spans="1:34" s="59" customFormat="1" ht="13" customHeight="1">
      <c r="A71" s="471"/>
      <c r="D71" s="140"/>
      <c r="E71" s="140"/>
      <c r="G71" s="374" t="s">
        <v>356</v>
      </c>
      <c r="H71" s="375"/>
      <c r="I71" s="125"/>
      <c r="J71" s="125"/>
      <c r="K71" s="125"/>
      <c r="L71" s="376">
        <f>SUM($AA$51:$AD$51)</f>
        <v>0</v>
      </c>
      <c r="N71" s="533" t="s">
        <v>390</v>
      </c>
      <c r="O71" s="534"/>
      <c r="P71" s="398">
        <f>SUM(Jänner:Juli!$B$57)</f>
        <v>0</v>
      </c>
      <c r="T71" s="242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302"/>
    </row>
    <row r="72" spans="1:34" s="59" customFormat="1" ht="13" customHeight="1">
      <c r="A72" s="471"/>
      <c r="D72" s="140"/>
      <c r="E72" s="140"/>
      <c r="G72" s="374" t="s">
        <v>98</v>
      </c>
      <c r="H72" s="375"/>
      <c r="I72" s="125"/>
      <c r="J72" s="125"/>
      <c r="K72" s="125"/>
      <c r="L72" s="377">
        <f>$L$70*$L$60</f>
        <v>0</v>
      </c>
      <c r="N72" s="606" t="s">
        <v>388</v>
      </c>
      <c r="O72" s="607"/>
      <c r="P72" s="450">
        <f>SUM(Jänner:Juli!$B$58)</f>
        <v>0</v>
      </c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302"/>
    </row>
    <row r="73" spans="1:34" s="59" customFormat="1" ht="13" customHeight="1">
      <c r="A73" s="471"/>
      <c r="D73" s="140"/>
      <c r="E73" s="315"/>
      <c r="G73" s="267" t="s">
        <v>99</v>
      </c>
      <c r="H73" s="268"/>
      <c r="I73" s="378"/>
      <c r="J73" s="378"/>
      <c r="K73" s="378"/>
      <c r="L73" s="379">
        <f>$L$71*$L$61</f>
        <v>0</v>
      </c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302"/>
    </row>
    <row r="74" spans="1:34" s="59" customFormat="1" ht="13" customHeight="1">
      <c r="A74" s="471"/>
      <c r="D74" s="140"/>
      <c r="G74" s="385" t="s">
        <v>288</v>
      </c>
      <c r="H74" s="386"/>
      <c r="I74" s="161"/>
      <c r="J74" s="161"/>
      <c r="K74" s="161"/>
      <c r="L74" s="387">
        <f>VLOOKUP($B$8,Datenblatt!$A$100:$F$112,6,FALSE)-SUM($D$55:$D$58)</f>
        <v>184</v>
      </c>
      <c r="T74" s="242"/>
      <c r="U74" s="242"/>
      <c r="V74" s="242"/>
      <c r="W74" s="242"/>
      <c r="X74" s="242"/>
      <c r="Y74" s="242"/>
      <c r="Z74" s="242"/>
      <c r="AA74" s="242"/>
      <c r="AB74" s="242"/>
      <c r="AC74" s="242"/>
      <c r="AD74" s="242"/>
      <c r="AE74" s="242"/>
      <c r="AF74" s="242"/>
      <c r="AG74" s="242"/>
      <c r="AH74" s="302"/>
    </row>
    <row r="75" spans="1:34" s="59" customFormat="1" ht="13" customHeight="1">
      <c r="A75" s="471"/>
      <c r="D75" s="140"/>
      <c r="T75" s="242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242"/>
      <c r="AF75" s="242"/>
      <c r="AG75" s="242"/>
      <c r="AH75" s="302"/>
    </row>
    <row r="76" spans="1:34" s="59" customFormat="1" ht="13" customHeight="1">
      <c r="A76" s="471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302"/>
    </row>
    <row r="77" spans="1:34" s="59" customFormat="1" ht="13" customHeight="1">
      <c r="A77" s="471"/>
      <c r="C77" s="164" t="s">
        <v>243</v>
      </c>
      <c r="D77" s="165"/>
      <c r="E77" s="166"/>
      <c r="F77" s="166"/>
      <c r="G77" s="166"/>
      <c r="H77" s="167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302"/>
    </row>
    <row r="78" spans="1:34" s="59" customFormat="1" ht="13" customHeight="1">
      <c r="A78" s="471"/>
      <c r="C78" s="121" t="s">
        <v>92</v>
      </c>
      <c r="D78" s="122"/>
      <c r="E78" s="123"/>
      <c r="F78" s="123"/>
      <c r="G78" s="123"/>
      <c r="H78" s="124">
        <f>SUMPRODUCT((WEEKDAY($B$13:$B$43,2)=6)*($D$13:$D$43="ND"))-SUMPRODUCT((WEEKDAY($B$13:$B$43,2)=6)*($D$13:$D$43="ND")*($A$13:$A$43="Ft"))</f>
        <v>0</v>
      </c>
      <c r="R78" s="120"/>
      <c r="S78" s="120"/>
      <c r="T78" s="242"/>
      <c r="U78" s="242"/>
      <c r="V78" s="242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  <c r="AH78" s="302"/>
    </row>
    <row r="79" spans="1:34" s="59" customFormat="1" ht="13" customHeight="1">
      <c r="A79" s="471"/>
      <c r="C79" s="121" t="s">
        <v>93</v>
      </c>
      <c r="D79" s="122"/>
      <c r="E79" s="123"/>
      <c r="F79" s="123"/>
      <c r="G79" s="123"/>
      <c r="H79" s="124">
        <f>SUMPRODUCT((WEEKDAY($B$14:$B$44,2)=7)*($D$14:$D$44="ND"))-SUMPRODUCT((WEEKDAY($B$14:$B$44,2)=7)*($D$14:$D$44="ND")*($A$14:$A$44="Ft"))</f>
        <v>0</v>
      </c>
      <c r="R79" s="120"/>
      <c r="S79" s="120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  <c r="AH79" s="302"/>
    </row>
    <row r="80" spans="1:34" s="59" customFormat="1" ht="13" customHeight="1">
      <c r="A80" s="471"/>
      <c r="C80" s="121" t="s">
        <v>94</v>
      </c>
      <c r="D80" s="122"/>
      <c r="E80" s="123"/>
      <c r="F80" s="123"/>
      <c r="G80" s="123"/>
      <c r="H80" s="124">
        <f>SUMPRODUCT(($D$14:$D$44="ND")*($A$14:$A$44="Ft"))</f>
        <v>0</v>
      </c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42"/>
      <c r="AG80" s="242"/>
      <c r="AH80" s="302"/>
    </row>
    <row r="81" spans="1:34" s="59" customFormat="1" ht="13" customHeight="1">
      <c r="A81" s="471"/>
      <c r="C81" s="121" t="s">
        <v>95</v>
      </c>
      <c r="D81" s="122"/>
      <c r="E81" s="125"/>
      <c r="F81" s="125"/>
      <c r="G81" s="125"/>
      <c r="H81" s="124">
        <f>SUMPRODUCT((WEEKDAY($C$13:$C$43,2)=7)*($D$13:$D$43="ND")*($A$14:$A$44="Ft"))-SUMPRODUCT((WEEKDAY($C$13:$C$43,2)=7)*($D$13:$D$43="ND")*($A$13:$A$43="Ft")*($A$14:$A$44="Ft"))</f>
        <v>0</v>
      </c>
      <c r="T81" s="242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  <c r="AH81" s="302"/>
    </row>
    <row r="82" spans="1:34" s="59" customFormat="1" ht="13" customHeight="1">
      <c r="A82" s="471"/>
      <c r="C82" s="121" t="s">
        <v>96</v>
      </c>
      <c r="D82" s="122"/>
      <c r="E82" s="125"/>
      <c r="F82" s="125"/>
      <c r="G82" s="125"/>
      <c r="H82" s="124">
        <f>SUMPRODUCT(($A$13:$A$43="Ft")*($D$13:$D$43="ND")*($A$14:$A$44="Ft"))</f>
        <v>0</v>
      </c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42"/>
      <c r="AG82" s="242"/>
      <c r="AH82" s="302"/>
    </row>
    <row r="83" spans="1:34" s="59" customFormat="1" ht="13" customHeight="1">
      <c r="A83" s="471"/>
      <c r="C83" s="121" t="s">
        <v>97</v>
      </c>
      <c r="D83" s="122"/>
      <c r="E83" s="125"/>
      <c r="F83" s="122"/>
      <c r="G83" s="122"/>
      <c r="H83" s="124">
        <f>SUMPRODUCT(($A$13:$A$43="Ft")*(WEEKDAY($C$14:$C$44,2)=7)*($D$13:$D$43="ND"))-SUMPRODUCT(($A$13:$A$43="Ft")*($A$14:$A$44="Ft")*(WEEKDAY($C$14:$C$44,2)=7)*($D$13:$D$43="ND"))</f>
        <v>0</v>
      </c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302"/>
    </row>
    <row r="84" spans="1:34" s="59" customFormat="1" ht="13" customHeight="1">
      <c r="A84" s="471"/>
      <c r="C84" s="126" t="s">
        <v>152</v>
      </c>
      <c r="D84" s="127"/>
      <c r="E84" s="161"/>
      <c r="F84" s="127"/>
      <c r="G84" s="127"/>
      <c r="H84" s="199">
        <f>SUMPRODUCT(($A$14:$A$44="Ft")*(WEEKDAY($C$13:$C$43,2)&lt;6)*($D$13:$D$43="ND"))-(SUMPRODUCT(($A$14:$A$44="Ft")*($A$13:$A$43="Ft")*(WEEKDAY($C$13:$C$43,2)&lt;6)*($D$13:$D$43="ND")))</f>
        <v>0</v>
      </c>
      <c r="T84" s="242"/>
      <c r="U84" s="242"/>
      <c r="V84" s="242"/>
      <c r="W84" s="242"/>
      <c r="X84" s="242"/>
      <c r="Y84" s="242"/>
      <c r="Z84" s="242"/>
      <c r="AA84" s="242"/>
      <c r="AB84" s="242"/>
      <c r="AC84" s="242"/>
      <c r="AD84" s="242"/>
      <c r="AE84" s="242"/>
      <c r="AF84" s="242"/>
      <c r="AG84" s="242"/>
      <c r="AH84" s="302"/>
    </row>
    <row r="85" spans="1:34" s="59" customFormat="1" ht="13" customHeight="1">
      <c r="A85" s="471"/>
      <c r="C85" s="164" t="s">
        <v>244</v>
      </c>
      <c r="D85" s="165"/>
      <c r="E85" s="166"/>
      <c r="F85" s="166"/>
      <c r="G85" s="166"/>
      <c r="H85" s="167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242"/>
      <c r="AF85" s="242"/>
      <c r="AG85" s="242"/>
      <c r="AH85" s="302"/>
    </row>
    <row r="86" spans="1:34" s="59" customFormat="1" ht="13" customHeight="1">
      <c r="A86" s="471"/>
      <c r="C86" s="267" t="s">
        <v>401</v>
      </c>
      <c r="D86" s="268"/>
      <c r="E86" s="268"/>
      <c r="F86" s="268"/>
      <c r="G86" s="268"/>
      <c r="H86" s="163"/>
      <c r="T86" s="242"/>
      <c r="U86" s="242"/>
      <c r="V86" s="242"/>
      <c r="W86" s="242"/>
      <c r="X86" s="242"/>
      <c r="Y86" s="242"/>
      <c r="Z86" s="242"/>
      <c r="AA86" s="242"/>
      <c r="AB86" s="242"/>
      <c r="AC86" s="242"/>
      <c r="AD86" s="242"/>
      <c r="AE86" s="242"/>
      <c r="AF86" s="242"/>
      <c r="AG86" s="242"/>
      <c r="AH86" s="302"/>
    </row>
    <row r="87" spans="1:34" s="59" customFormat="1" ht="13" customHeight="1">
      <c r="A87" s="471"/>
      <c r="C87" s="121" t="s">
        <v>16</v>
      </c>
      <c r="D87" s="122"/>
      <c r="E87" s="122"/>
      <c r="F87" s="122"/>
      <c r="G87" s="122"/>
      <c r="H87" s="124">
        <f>SUMPRODUCT((WEEKDAY($B$14:$B$44,2)=7)*($D$14:$D$44="TD"))+SUMPRODUCT(($D$14:$D$44="TD")*($A$14:$A$44="Ft"))-SUMPRODUCT((WEEKDAY($B$14:$B$44,2)=7)*($D$14:$D$44="TD")*($A$14:$A$44="Ft"))</f>
        <v>0</v>
      </c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  <c r="AH87" s="302"/>
    </row>
    <row r="88" spans="1:34" s="59" customFormat="1" ht="13" customHeight="1">
      <c r="A88" s="471"/>
      <c r="C88" s="121" t="s">
        <v>225</v>
      </c>
      <c r="D88" s="122"/>
      <c r="E88" s="122"/>
      <c r="F88" s="122"/>
      <c r="G88" s="122"/>
      <c r="H88" s="124">
        <f>SUMPRODUCT((WEEKDAY($B$14:$B$44,2)=7)*($D$14:$D$44="TD5,5"))+SUMPRODUCT(($D$14:$D$44="TD5,5")*($A$14:$A$44="Ft"))-SUMPRODUCT((WEEKDAY($B$14:$B$44,2)=7)*($D$14:$D$44="TD5,5")*($A$14:$A$44="Ft"))</f>
        <v>0</v>
      </c>
      <c r="T88" s="242"/>
      <c r="U88" s="242"/>
      <c r="V88" s="242"/>
      <c r="W88" s="242"/>
      <c r="X88" s="242"/>
      <c r="Y88" s="242"/>
      <c r="Z88" s="242"/>
      <c r="AA88" s="242"/>
      <c r="AB88" s="242"/>
      <c r="AC88" s="242"/>
      <c r="AD88" s="242"/>
      <c r="AE88" s="242"/>
      <c r="AF88" s="242"/>
      <c r="AG88" s="242"/>
      <c r="AH88" s="302"/>
    </row>
    <row r="89" spans="1:34" s="59" customFormat="1" ht="13" customHeight="1">
      <c r="A89" s="471"/>
      <c r="C89" s="121" t="s">
        <v>88</v>
      </c>
      <c r="D89" s="122"/>
      <c r="E89" s="122"/>
      <c r="F89" s="122"/>
      <c r="G89" s="122"/>
      <c r="H89" s="124">
        <f>SUMPRODUCT((WEEKDAY($B$14:$B$44,2)=7)*($D$14:$D$44="TD6"))+SUMPRODUCT(($D$14:$D$44="TD6")*($A$14:$A$44="Ft"))-SUMPRODUCT((WEEKDAY($B$14:$B$44,2)=7)*($D$14:$D$44="TD6")*($A$14:$A$44="Ft"))</f>
        <v>0</v>
      </c>
      <c r="T89" s="242"/>
      <c r="U89" s="242"/>
      <c r="V89" s="242"/>
      <c r="W89" s="242"/>
      <c r="X89" s="242"/>
      <c r="Y89" s="242"/>
      <c r="Z89" s="242"/>
      <c r="AA89" s="242"/>
      <c r="AB89" s="242"/>
      <c r="AC89" s="242"/>
      <c r="AD89" s="242"/>
      <c r="AE89" s="242"/>
      <c r="AF89" s="242"/>
      <c r="AG89" s="242"/>
      <c r="AH89" s="302"/>
    </row>
    <row r="90" spans="1:34" s="59" customFormat="1" ht="13" customHeight="1">
      <c r="A90" s="471"/>
      <c r="C90" s="121" t="s">
        <v>184</v>
      </c>
      <c r="D90" s="122"/>
      <c r="E90" s="122"/>
      <c r="F90" s="122"/>
      <c r="G90" s="122"/>
      <c r="H90" s="124">
        <f>SUMPRODUCT((WEEKDAY($B$14:$B$44,2)=7)*($D$14:$D$44="TD6,25"))+SUMPRODUCT(($D$14:$D$44="TD6,25")*($A$14:$A$44="Ft"))-SUMPRODUCT((WEEKDAY($B$14:$B$44,2)=7)*($D$14:$D$44="TD6,25")*($A$14:$A$44="Ft"))</f>
        <v>0</v>
      </c>
      <c r="T90" s="242"/>
      <c r="U90" s="242"/>
      <c r="V90" s="242"/>
      <c r="W90" s="242"/>
      <c r="X90" s="242"/>
      <c r="Y90" s="242"/>
      <c r="Z90" s="242"/>
      <c r="AA90" s="242"/>
      <c r="AB90" s="242"/>
      <c r="AC90" s="242"/>
      <c r="AD90" s="242"/>
      <c r="AE90" s="242"/>
      <c r="AF90" s="242"/>
      <c r="AG90" s="242"/>
      <c r="AH90" s="302"/>
    </row>
    <row r="91" spans="1:34" s="59" customFormat="1" ht="13" customHeight="1">
      <c r="A91" s="471"/>
      <c r="C91" s="121" t="s">
        <v>209</v>
      </c>
      <c r="D91" s="122"/>
      <c r="E91" s="122"/>
      <c r="F91" s="122"/>
      <c r="G91" s="122"/>
      <c r="H91" s="124">
        <f>SUMPRODUCT((WEEKDAY($B$14:$B$44,2)=7)*($D$14:$D$44="TD6,5"))+SUMPRODUCT(($D$14:$D$44="TD6,5")*($A$14:$A$44="Ft"))-SUMPRODUCT((WEEKDAY($B$14:$B$44,2)=7)*($D$14:$D$44="TD6,5")*($A$14:$A$44="Ft"))</f>
        <v>0</v>
      </c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302"/>
    </row>
    <row r="92" spans="1:34" s="59" customFormat="1" ht="13" customHeight="1">
      <c r="A92" s="471"/>
      <c r="C92" s="121" t="s">
        <v>86</v>
      </c>
      <c r="D92" s="122"/>
      <c r="E92" s="122"/>
      <c r="F92" s="122"/>
      <c r="G92" s="122"/>
      <c r="H92" s="124">
        <f>SUMPRODUCT((WEEKDAY($B$14:$B$44,2)=7)*($D$14:$D$44="TD7"))+SUMPRODUCT(($D$14:$D$44="TD7")*($A$14:$A$44="Ft"))-SUMPRODUCT((WEEKDAY($B$14:$B$44,2)=7)*($D$14:$D$44="TD7")*($A$14:$A$44="Ft"))</f>
        <v>0</v>
      </c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302"/>
    </row>
    <row r="93" spans="1:34" s="59" customFormat="1" ht="13" customHeight="1">
      <c r="A93" s="471"/>
      <c r="C93" s="121" t="s">
        <v>213</v>
      </c>
      <c r="D93" s="122"/>
      <c r="E93" s="122"/>
      <c r="F93" s="122"/>
      <c r="G93" s="122"/>
      <c r="H93" s="124">
        <f>SUMPRODUCT((WEEKDAY($B$14:$B$44,2)=7)*($D$14:$D$44="TD7,5"))+SUMPRODUCT(($D$14:$D$44="TD7,5")*($A$14:$A$44="Ft"))-SUMPRODUCT((WEEKDAY($B$14:$B$44,2)=7)*($D$14:$D$44="TD7,5")*($A$14:$A$44="Ft"))</f>
        <v>0</v>
      </c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302"/>
    </row>
    <row r="94" spans="1:34" s="59" customFormat="1" ht="13" customHeight="1">
      <c r="A94" s="471"/>
      <c r="C94" s="121" t="s">
        <v>71</v>
      </c>
      <c r="D94" s="122"/>
      <c r="E94" s="122"/>
      <c r="F94" s="122"/>
      <c r="G94" s="122"/>
      <c r="H94" s="124">
        <f>SUMPRODUCT((WEEKDAY($B$14:$B$44,2)=7)*($D$14:$D$44="TD8"))+SUMPRODUCT(($D$14:$D$44="TD8")*($A$14:$A$44="Ft"))-SUMPRODUCT((WEEKDAY($B$14:$B$44,2)=7)*($D$14:$D$44="TD8")*($A$14:$A$44="Ft"))</f>
        <v>0</v>
      </c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42"/>
      <c r="AG94" s="242"/>
      <c r="AH94" s="302"/>
    </row>
    <row r="95" spans="1:34" s="59" customFormat="1" ht="13" customHeight="1">
      <c r="A95" s="471"/>
      <c r="C95" s="121" t="s">
        <v>214</v>
      </c>
      <c r="D95" s="122"/>
      <c r="E95" s="122"/>
      <c r="F95" s="122"/>
      <c r="G95" s="122"/>
      <c r="H95" s="124">
        <f>SUMPRODUCT((WEEKDAY($B$14:$B$44,2)=7)*($D$14:$D$44="TD8,5"))+SUMPRODUCT(($D$14:$D$44="TD8,5")*($A$14:$A$44="Ft"))-SUMPRODUCT((WEEKDAY($B$14:$B$44,2)=7)*($D$14:$D$44="TD8,5")*($A$14:$A$44="Ft"))</f>
        <v>0</v>
      </c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302"/>
    </row>
    <row r="96" spans="1:34" ht="13" customHeight="1">
      <c r="C96" s="121" t="s">
        <v>84</v>
      </c>
      <c r="D96" s="122"/>
      <c r="E96" s="122"/>
      <c r="F96" s="122"/>
      <c r="G96" s="122"/>
      <c r="H96" s="12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21" t="s">
        <v>215</v>
      </c>
      <c r="D97" s="122"/>
      <c r="E97" s="122"/>
      <c r="F97" s="122"/>
      <c r="G97" s="122"/>
      <c r="H97" s="12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21" t="s">
        <v>413</v>
      </c>
      <c r="D98" s="122"/>
      <c r="E98" s="122"/>
      <c r="F98" s="122"/>
      <c r="G98" s="122"/>
      <c r="H98" s="12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21" t="s">
        <v>216</v>
      </c>
      <c r="D99" s="122"/>
      <c r="E99" s="122"/>
      <c r="F99" s="122"/>
      <c r="G99" s="122"/>
      <c r="H99" s="12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21" t="s">
        <v>217</v>
      </c>
      <c r="D100" s="122"/>
      <c r="E100" s="122"/>
      <c r="F100" s="122"/>
      <c r="G100" s="122"/>
      <c r="H100" s="12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21" t="s">
        <v>210</v>
      </c>
      <c r="D101" s="122"/>
      <c r="E101" s="122"/>
      <c r="F101" s="122"/>
      <c r="G101" s="122"/>
      <c r="H101" s="12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21" t="s">
        <v>218</v>
      </c>
      <c r="D102" s="122"/>
      <c r="E102" s="122"/>
      <c r="F102" s="122"/>
      <c r="G102" s="122"/>
      <c r="H102" s="12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21" t="s">
        <v>119</v>
      </c>
      <c r="D103" s="122"/>
      <c r="E103" s="122"/>
      <c r="F103" s="122"/>
      <c r="G103" s="122"/>
      <c r="H103" s="12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62" t="s">
        <v>149</v>
      </c>
      <c r="D104" s="263"/>
      <c r="E104" s="263"/>
      <c r="F104" s="263"/>
      <c r="G104" s="263"/>
      <c r="H104" s="162"/>
    </row>
    <row r="105" spans="3:8" ht="13" customHeight="1">
      <c r="C105" s="121" t="s">
        <v>153</v>
      </c>
      <c r="D105" s="122"/>
      <c r="E105" s="122"/>
      <c r="F105" s="122"/>
      <c r="G105" s="122"/>
      <c r="H105" s="124">
        <f>SUMPRODUCT((WEEKDAY($B$13:$B$43,2)=6)*($D$13:$D$43="ND12,5"))-SUMPRODUCT((WEEKDAY($B$13:$B$43,2)=6)*($D$13:$D$43="ND12,5")*($A$13:$A$43="Ft"))</f>
        <v>0</v>
      </c>
    </row>
    <row r="106" spans="3:8">
      <c r="C106" s="121" t="s">
        <v>150</v>
      </c>
      <c r="D106" s="125"/>
      <c r="E106" s="125"/>
      <c r="F106" s="125"/>
      <c r="G106" s="125"/>
      <c r="H106" s="124">
        <f>SUMPRODUCT((WEEKDAY($B$14:$B$44,2)=7)*($D$14:$D$44="ND12,5"))-SUMPRODUCT((WEEKDAY($B$14:$B$44,2)=7)*($D$14:$D$44="ND12,5")*($A$14:$A$44="Ft"))</f>
        <v>0</v>
      </c>
    </row>
    <row r="107" spans="3:8">
      <c r="C107" s="121" t="s">
        <v>151</v>
      </c>
      <c r="D107" s="125"/>
      <c r="E107" s="125"/>
      <c r="F107" s="125"/>
      <c r="G107" s="125"/>
      <c r="H107" s="124">
        <f>SUMPRODUCT(($D$14:$D$44="ND12,5")*($A$14:$A$44="Ft"))</f>
        <v>0</v>
      </c>
    </row>
    <row r="108" spans="3:8">
      <c r="C108" s="121" t="s">
        <v>155</v>
      </c>
      <c r="D108" s="125"/>
      <c r="E108" s="125"/>
      <c r="F108" s="125"/>
      <c r="G108" s="125"/>
      <c r="H108" s="12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21" t="s">
        <v>156</v>
      </c>
      <c r="D109" s="125"/>
      <c r="E109" s="125"/>
      <c r="F109" s="125"/>
      <c r="G109" s="125"/>
      <c r="H109" s="124">
        <f>SUMPRODUCT(($A$13:$A$43="Ft")*($D$13:$D$43="ND12,5")*($A$14:$A$44="Ft"))</f>
        <v>0</v>
      </c>
    </row>
    <row r="110" spans="3:8">
      <c r="C110" s="121" t="s">
        <v>157</v>
      </c>
      <c r="D110" s="125"/>
      <c r="E110" s="125"/>
      <c r="F110" s="125"/>
      <c r="G110" s="125"/>
      <c r="H110" s="12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26" t="s">
        <v>154</v>
      </c>
      <c r="D111" s="161"/>
      <c r="E111" s="161"/>
      <c r="F111" s="161"/>
      <c r="G111" s="161"/>
      <c r="H111" s="199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fNvMNztoo5WCl3YQfM9GgAHjEJA8Yc3+77TnYfqfOvsUDRNwpCiQB1aB1/8LLu46RNCsKpAh2tHjwbWugRry5A==" saltValue="FNyJQdULhwetzm+RbMpUTw==" spinCount="100000" sheet="1" selectLockedCells="1"/>
  <mergeCells count="63">
    <mergeCell ref="N70:O70"/>
    <mergeCell ref="N71:O71"/>
    <mergeCell ref="N72:O72"/>
    <mergeCell ref="N62:O62"/>
    <mergeCell ref="N64:P65"/>
    <mergeCell ref="N66:O66"/>
    <mergeCell ref="N69:O69"/>
    <mergeCell ref="N67:O67"/>
    <mergeCell ref="N68:O68"/>
    <mergeCell ref="N63:O63"/>
    <mergeCell ref="B9:C11"/>
    <mergeCell ref="D9:D11"/>
    <mergeCell ref="N61:O61"/>
    <mergeCell ref="C50:D50"/>
    <mergeCell ref="G54:I54"/>
    <mergeCell ref="N50:P51"/>
    <mergeCell ref="N58:P59"/>
    <mergeCell ref="N52:O52"/>
    <mergeCell ref="N53:O53"/>
    <mergeCell ref="N54:O54"/>
    <mergeCell ref="N60:O60"/>
    <mergeCell ref="L47:O47"/>
    <mergeCell ref="E9:E11"/>
    <mergeCell ref="F9:G10"/>
    <mergeCell ref="H9:I10"/>
    <mergeCell ref="J9:J11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AG10:AG11"/>
    <mergeCell ref="S9:S11"/>
    <mergeCell ref="Q9:Q11"/>
    <mergeCell ref="R9:R11"/>
    <mergeCell ref="L9:L11"/>
    <mergeCell ref="M9:M11"/>
    <mergeCell ref="N9:N11"/>
    <mergeCell ref="O9:O11"/>
    <mergeCell ref="P9:P11"/>
    <mergeCell ref="AF10:AF11"/>
    <mergeCell ref="U10:Y10"/>
    <mergeCell ref="AA10:AE10"/>
    <mergeCell ref="L48:O48"/>
    <mergeCell ref="N55:O55"/>
    <mergeCell ref="N56:O56"/>
    <mergeCell ref="N57:O57"/>
    <mergeCell ref="K5:M5"/>
    <mergeCell ref="K6:M6"/>
    <mergeCell ref="N6:P6"/>
    <mergeCell ref="N5:P5"/>
    <mergeCell ref="K8:M8"/>
    <mergeCell ref="N8:P8"/>
    <mergeCell ref="K7:M7"/>
    <mergeCell ref="N7:P7"/>
    <mergeCell ref="N13:O13"/>
    <mergeCell ref="K9:K11"/>
  </mergeCells>
  <conditionalFormatting sqref="A13:A44">
    <cfRule type="cellIs" dxfId="263" priority="8" operator="equal">
      <formula>"HFT"</formula>
    </cfRule>
    <cfRule type="cellIs" dxfId="262" priority="9" operator="equal">
      <formula>"FT"</formula>
    </cfRule>
  </conditionalFormatting>
  <conditionalFormatting sqref="A45">
    <cfRule type="cellIs" dxfId="261" priority="280" operator="equal">
      <formula>"Ft"</formula>
    </cfRule>
  </conditionalFormatting>
  <conditionalFormatting sqref="B13:C44">
    <cfRule type="expression" dxfId="260" priority="281">
      <formula>WEEKDAY($C13,2)&gt;5</formula>
    </cfRule>
  </conditionalFormatting>
  <conditionalFormatting sqref="E8">
    <cfRule type="cellIs" dxfId="258" priority="43" operator="greaterThan">
      <formula>48</formula>
    </cfRule>
  </conditionalFormatting>
  <conditionalFormatting sqref="I47:K47">
    <cfRule type="cellIs" dxfId="257" priority="107" operator="equal">
      <formula>"Wochenarbeitszeit überschritten"</formula>
    </cfRule>
  </conditionalFormatting>
  <conditionalFormatting sqref="J45:P45">
    <cfRule type="cellIs" dxfId="256" priority="149" operator="equal">
      <formula>0</formula>
    </cfRule>
  </conditionalFormatting>
  <conditionalFormatting sqref="K8">
    <cfRule type="cellIs" dxfId="255" priority="198" operator="lessThan">
      <formula>$N$8</formula>
    </cfRule>
    <cfRule type="cellIs" dxfId="254" priority="196" operator="equal">
      <formula>$N$8</formula>
    </cfRule>
    <cfRule type="cellIs" dxfId="253" priority="197" operator="greaterThan">
      <formula>$N$8</formula>
    </cfRule>
  </conditionalFormatting>
  <conditionalFormatting sqref="K14:K44">
    <cfRule type="cellIs" dxfId="252" priority="31" operator="lessThanOrEqual">
      <formula>0</formula>
    </cfRule>
    <cfRule type="cellIs" dxfId="251" priority="32" operator="greaterThan">
      <formula>0</formula>
    </cfRule>
  </conditionalFormatting>
  <conditionalFormatting sqref="K45">
    <cfRule type="cellIs" dxfId="250" priority="201" operator="lessThan">
      <formula>0</formula>
    </cfRule>
  </conditionalFormatting>
  <conditionalFormatting sqref="N14:O44">
    <cfRule type="cellIs" dxfId="249" priority="11" operator="equal">
      <formula>0</formula>
    </cfRule>
  </conditionalFormatting>
  <conditionalFormatting sqref="P13:P44">
    <cfRule type="cellIs" dxfId="248" priority="2" operator="equal">
      <formula>0</formula>
    </cfRule>
  </conditionalFormatting>
  <conditionalFormatting sqref="P60:P63">
    <cfRule type="cellIs" dxfId="247" priority="58" operator="lessThan">
      <formula>0</formula>
    </cfRule>
  </conditionalFormatting>
  <conditionalFormatting sqref="Q47">
    <cfRule type="cellIs" dxfId="246" priority="47" operator="equal">
      <formula>0</formula>
    </cfRule>
  </conditionalFormatting>
  <conditionalFormatting sqref="T14:T44">
    <cfRule type="cellIs" dxfId="245" priority="260" operator="equal">
      <formula>0</formula>
    </cfRule>
  </conditionalFormatting>
  <conditionalFormatting sqref="T45:W45">
    <cfRule type="cellIs" dxfId="244" priority="143" operator="equal">
      <formula>0</formula>
    </cfRule>
  </conditionalFormatting>
  <conditionalFormatting sqref="T51:W51">
    <cfRule type="cellIs" dxfId="243" priority="25" operator="equal">
      <formula>0</formula>
    </cfRule>
  </conditionalFormatting>
  <conditionalFormatting sqref="U15:W44">
    <cfRule type="cellIs" dxfId="242" priority="233" operator="equal">
      <formula>0</formula>
    </cfRule>
  </conditionalFormatting>
  <conditionalFormatting sqref="U51:Y53">
    <cfRule type="cellIs" dxfId="241" priority="15" operator="equal">
      <formula>0</formula>
    </cfRule>
  </conditionalFormatting>
  <conditionalFormatting sqref="V14">
    <cfRule type="cellIs" dxfId="240" priority="261" operator="equal">
      <formula>0</formula>
    </cfRule>
  </conditionalFormatting>
  <conditionalFormatting sqref="V13:W13">
    <cfRule type="cellIs" dxfId="239" priority="159" operator="equal">
      <formula>0</formula>
    </cfRule>
  </conditionalFormatting>
  <conditionalFormatting sqref="W52">
    <cfRule type="cellIs" dxfId="238" priority="19" operator="equal">
      <formula>0</formula>
    </cfRule>
  </conditionalFormatting>
  <conditionalFormatting sqref="X13:Y45">
    <cfRule type="cellIs" dxfId="237" priority="59" operator="equal">
      <formula>0</formula>
    </cfRule>
  </conditionalFormatting>
  <conditionalFormatting sqref="Z13:Z44">
    <cfRule type="cellIs" dxfId="236" priority="160" operator="equal">
      <formula>0</formula>
    </cfRule>
  </conditionalFormatting>
  <conditionalFormatting sqref="Z51:AC51">
    <cfRule type="cellIs" dxfId="235" priority="23" operator="equal">
      <formula>0</formula>
    </cfRule>
  </conditionalFormatting>
  <conditionalFormatting sqref="Z45:AD45">
    <cfRule type="cellIs" dxfId="234" priority="141" operator="equal">
      <formula>0</formula>
    </cfRule>
  </conditionalFormatting>
  <conditionalFormatting sqref="AA14:AB44">
    <cfRule type="cellIs" dxfId="233" priority="33" operator="equal">
      <formula>0</formula>
    </cfRule>
  </conditionalFormatting>
  <conditionalFormatting sqref="AA51:AE52">
    <cfRule type="cellIs" dxfId="232" priority="5" operator="equal">
      <formula>0</formula>
    </cfRule>
  </conditionalFormatting>
  <conditionalFormatting sqref="AC13:AD44">
    <cfRule type="cellIs" dxfId="231" priority="114" operator="equal">
      <formula>0</formula>
    </cfRule>
  </conditionalFormatting>
  <conditionalFormatting sqref="AE13:AE45">
    <cfRule type="cellIs" dxfId="230" priority="1" operator="equal">
      <formula>0</formula>
    </cfRule>
  </conditionalFormatting>
  <conditionalFormatting sqref="AF13:AG44">
    <cfRule type="cellIs" dxfId="229" priority="73" operator="equal">
      <formula>0</formula>
    </cfRule>
  </conditionalFormatting>
  <conditionalFormatting sqref="AG51:AH51">
    <cfRule type="cellIs" dxfId="228" priority="14" operator="equal">
      <formula>0</formula>
    </cfRule>
  </conditionalFormatting>
  <conditionalFormatting sqref="AH14:AH44">
    <cfRule type="cellIs" dxfId="227" priority="28" operator="equal">
      <formula>0</formula>
    </cfRule>
  </conditionalFormatting>
  <conditionalFormatting sqref="AH51:AH52">
    <cfRule type="cellIs" dxfId="226" priority="12" operator="equal">
      <formula>0</formula>
    </cfRule>
  </conditionalFormatting>
  <dataValidations count="4">
    <dataValidation type="list" allowBlank="1" showInputMessage="1" showErrorMessage="1" sqref="J14:J44" xr:uid="{EB7F43A9-45A9-4B6E-AF57-4B6AE4134F0B}">
      <formula1>AbwesenheitenStunden</formula1>
    </dataValidation>
    <dataValidation type="list" allowBlank="1" showInputMessage="1" showErrorMessage="1" error="Die Eingabe ist unzulässig_x000a_Bitte Drop Down Felder verwenden" sqref="F14:G44" xr:uid="{C61063CA-E8DA-49DB-9DC8-1C84F6C52761}">
      <formula1>Zeiten1</formula1>
    </dataValidation>
    <dataValidation type="decimal" allowBlank="1" showInputMessage="1" showErrorMessage="1" error="Die ausgewählte Stundenanzahl steht nicht zur Verfügung!" sqref="J54" xr:uid="{F8A62367-A2ED-43BD-8F0A-526B82DA069E}">
      <formula1>0</formula1>
      <formula2>K54</formula2>
    </dataValidation>
    <dataValidation type="list" allowBlank="1" showInputMessage="1" showErrorMessage="1" sqref="H14:I44" xr:uid="{787658F0-EBF8-4F26-82D6-3D28A8D8F5A2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3" id="{725B998E-53CC-43DA-98E4-A85A74C84225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9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8CE9AEAB-3E95-4E87-88B6-4302914970DE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A6F3AA7D-F8C6-4CDD-BE01-1788F511C370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64E6477C-7907-402A-9260-D5BA63AFAF67}">
          <x14:formula1>
            <xm:f>Datenblatt!$D$58:$D$59</xm:f>
          </x14:formula1>
          <xm:sqref>P47 J58</xm:sqref>
        </x14:dataValidation>
        <x14:dataValidation type="list" allowBlank="1" showInputMessage="1" showErrorMessage="1" xr:uid="{ABD9059E-48BF-4A22-B7EF-5D7DB941A434}">
          <x14:formula1>
            <xm:f>Datenblatt!$D$52:$D$53</xm:f>
          </x14:formula1>
          <xm:sqref>P48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71" customWidth="1"/>
    <col min="2" max="2" width="3.1640625" style="56" customWidth="1"/>
    <col min="3" max="3" width="8.83203125" style="56" customWidth="1"/>
    <col min="4" max="5" width="9.83203125" style="56" customWidth="1"/>
    <col min="6" max="10" width="9.1640625" style="56" customWidth="1"/>
    <col min="11" max="16" width="8.83203125" style="56" customWidth="1"/>
    <col min="17" max="17" width="23.5" style="66" customWidth="1"/>
    <col min="18" max="18" width="36.5" style="66" customWidth="1"/>
    <col min="19" max="19" width="43.5" style="56" customWidth="1"/>
    <col min="20" max="33" width="7.1640625" style="234" customWidth="1"/>
    <col min="34" max="34" width="7.1640625" style="301" customWidth="1"/>
    <col min="35" max="264" width="11.5" style="56"/>
    <col min="265" max="265" width="0.5" style="56" customWidth="1"/>
    <col min="266" max="266" width="3.1640625" style="56" customWidth="1"/>
    <col min="267" max="267" width="8.83203125" style="56" customWidth="1"/>
    <col min="268" max="268" width="14.83203125" style="56" customWidth="1"/>
    <col min="269" max="270" width="6.5" style="56" customWidth="1"/>
    <col min="271" max="271" width="14.83203125" style="56" customWidth="1"/>
    <col min="272" max="273" width="11.5" style="56" customWidth="1"/>
    <col min="274" max="274" width="6.1640625" style="56" customWidth="1"/>
    <col min="275" max="275" width="22.83203125" style="56" customWidth="1"/>
    <col min="276" max="276" width="11.5" style="56" customWidth="1"/>
    <col min="277" max="277" width="13.83203125" style="56" customWidth="1"/>
    <col min="278" max="278" width="5.83203125" style="56" customWidth="1"/>
    <col min="279" max="279" width="15.5" style="56" customWidth="1"/>
    <col min="280" max="520" width="11.5" style="56"/>
    <col min="521" max="521" width="0.5" style="56" customWidth="1"/>
    <col min="522" max="522" width="3.1640625" style="56" customWidth="1"/>
    <col min="523" max="523" width="8.83203125" style="56" customWidth="1"/>
    <col min="524" max="524" width="14.83203125" style="56" customWidth="1"/>
    <col min="525" max="526" width="6.5" style="56" customWidth="1"/>
    <col min="527" max="527" width="14.83203125" style="56" customWidth="1"/>
    <col min="528" max="529" width="11.5" style="56" customWidth="1"/>
    <col min="530" max="530" width="6.1640625" style="56" customWidth="1"/>
    <col min="531" max="531" width="22.83203125" style="56" customWidth="1"/>
    <col min="532" max="532" width="11.5" style="56" customWidth="1"/>
    <col min="533" max="533" width="13.83203125" style="56" customWidth="1"/>
    <col min="534" max="534" width="5.83203125" style="56" customWidth="1"/>
    <col min="535" max="535" width="15.5" style="56" customWidth="1"/>
    <col min="536" max="776" width="11.5" style="56"/>
    <col min="777" max="777" width="0.5" style="56" customWidth="1"/>
    <col min="778" max="778" width="3.1640625" style="56" customWidth="1"/>
    <col min="779" max="779" width="8.83203125" style="56" customWidth="1"/>
    <col min="780" max="780" width="14.83203125" style="56" customWidth="1"/>
    <col min="781" max="782" width="6.5" style="56" customWidth="1"/>
    <col min="783" max="783" width="14.83203125" style="56" customWidth="1"/>
    <col min="784" max="785" width="11.5" style="56" customWidth="1"/>
    <col min="786" max="786" width="6.1640625" style="56" customWidth="1"/>
    <col min="787" max="787" width="22.83203125" style="56" customWidth="1"/>
    <col min="788" max="788" width="11.5" style="56" customWidth="1"/>
    <col min="789" max="789" width="13.83203125" style="56" customWidth="1"/>
    <col min="790" max="790" width="5.83203125" style="56" customWidth="1"/>
    <col min="791" max="791" width="15.5" style="56" customWidth="1"/>
    <col min="792" max="1032" width="11.5" style="56"/>
    <col min="1033" max="1033" width="0.5" style="56" customWidth="1"/>
    <col min="1034" max="1034" width="3.1640625" style="56" customWidth="1"/>
    <col min="1035" max="1035" width="8.83203125" style="56" customWidth="1"/>
    <col min="1036" max="1036" width="14.83203125" style="56" customWidth="1"/>
    <col min="1037" max="1038" width="6.5" style="56" customWidth="1"/>
    <col min="1039" max="1039" width="14.83203125" style="56" customWidth="1"/>
    <col min="1040" max="1041" width="11.5" style="56" customWidth="1"/>
    <col min="1042" max="1042" width="6.1640625" style="56" customWidth="1"/>
    <col min="1043" max="1043" width="22.83203125" style="56" customWidth="1"/>
    <col min="1044" max="1044" width="11.5" style="56" customWidth="1"/>
    <col min="1045" max="1045" width="13.83203125" style="56" customWidth="1"/>
    <col min="1046" max="1046" width="5.83203125" style="56" customWidth="1"/>
    <col min="1047" max="1047" width="15.5" style="56" customWidth="1"/>
    <col min="1048" max="1288" width="11.5" style="56"/>
    <col min="1289" max="1289" width="0.5" style="56" customWidth="1"/>
    <col min="1290" max="1290" width="3.1640625" style="56" customWidth="1"/>
    <col min="1291" max="1291" width="8.83203125" style="56" customWidth="1"/>
    <col min="1292" max="1292" width="14.83203125" style="56" customWidth="1"/>
    <col min="1293" max="1294" width="6.5" style="56" customWidth="1"/>
    <col min="1295" max="1295" width="14.83203125" style="56" customWidth="1"/>
    <col min="1296" max="1297" width="11.5" style="56" customWidth="1"/>
    <col min="1298" max="1298" width="6.1640625" style="56" customWidth="1"/>
    <col min="1299" max="1299" width="22.83203125" style="56" customWidth="1"/>
    <col min="1300" max="1300" width="11.5" style="56" customWidth="1"/>
    <col min="1301" max="1301" width="13.83203125" style="56" customWidth="1"/>
    <col min="1302" max="1302" width="5.83203125" style="56" customWidth="1"/>
    <col min="1303" max="1303" width="15.5" style="56" customWidth="1"/>
    <col min="1304" max="1544" width="11.5" style="56"/>
    <col min="1545" max="1545" width="0.5" style="56" customWidth="1"/>
    <col min="1546" max="1546" width="3.1640625" style="56" customWidth="1"/>
    <col min="1547" max="1547" width="8.83203125" style="56" customWidth="1"/>
    <col min="1548" max="1548" width="14.83203125" style="56" customWidth="1"/>
    <col min="1549" max="1550" width="6.5" style="56" customWidth="1"/>
    <col min="1551" max="1551" width="14.83203125" style="56" customWidth="1"/>
    <col min="1552" max="1553" width="11.5" style="56" customWidth="1"/>
    <col min="1554" max="1554" width="6.1640625" style="56" customWidth="1"/>
    <col min="1555" max="1555" width="22.83203125" style="56" customWidth="1"/>
    <col min="1556" max="1556" width="11.5" style="56" customWidth="1"/>
    <col min="1557" max="1557" width="13.83203125" style="56" customWidth="1"/>
    <col min="1558" max="1558" width="5.83203125" style="56" customWidth="1"/>
    <col min="1559" max="1559" width="15.5" style="56" customWidth="1"/>
    <col min="1560" max="1800" width="11.5" style="56"/>
    <col min="1801" max="1801" width="0.5" style="56" customWidth="1"/>
    <col min="1802" max="1802" width="3.1640625" style="56" customWidth="1"/>
    <col min="1803" max="1803" width="8.83203125" style="56" customWidth="1"/>
    <col min="1804" max="1804" width="14.83203125" style="56" customWidth="1"/>
    <col min="1805" max="1806" width="6.5" style="56" customWidth="1"/>
    <col min="1807" max="1807" width="14.83203125" style="56" customWidth="1"/>
    <col min="1808" max="1809" width="11.5" style="56" customWidth="1"/>
    <col min="1810" max="1810" width="6.1640625" style="56" customWidth="1"/>
    <col min="1811" max="1811" width="22.83203125" style="56" customWidth="1"/>
    <col min="1812" max="1812" width="11.5" style="56" customWidth="1"/>
    <col min="1813" max="1813" width="13.83203125" style="56" customWidth="1"/>
    <col min="1814" max="1814" width="5.83203125" style="56" customWidth="1"/>
    <col min="1815" max="1815" width="15.5" style="56" customWidth="1"/>
    <col min="1816" max="2056" width="11.5" style="56"/>
    <col min="2057" max="2057" width="0.5" style="56" customWidth="1"/>
    <col min="2058" max="2058" width="3.1640625" style="56" customWidth="1"/>
    <col min="2059" max="2059" width="8.83203125" style="56" customWidth="1"/>
    <col min="2060" max="2060" width="14.83203125" style="56" customWidth="1"/>
    <col min="2061" max="2062" width="6.5" style="56" customWidth="1"/>
    <col min="2063" max="2063" width="14.83203125" style="56" customWidth="1"/>
    <col min="2064" max="2065" width="11.5" style="56" customWidth="1"/>
    <col min="2066" max="2066" width="6.1640625" style="56" customWidth="1"/>
    <col min="2067" max="2067" width="22.83203125" style="56" customWidth="1"/>
    <col min="2068" max="2068" width="11.5" style="56" customWidth="1"/>
    <col min="2069" max="2069" width="13.83203125" style="56" customWidth="1"/>
    <col min="2070" max="2070" width="5.83203125" style="56" customWidth="1"/>
    <col min="2071" max="2071" width="15.5" style="56" customWidth="1"/>
    <col min="2072" max="2312" width="11.5" style="56"/>
    <col min="2313" max="2313" width="0.5" style="56" customWidth="1"/>
    <col min="2314" max="2314" width="3.1640625" style="56" customWidth="1"/>
    <col min="2315" max="2315" width="8.83203125" style="56" customWidth="1"/>
    <col min="2316" max="2316" width="14.83203125" style="56" customWidth="1"/>
    <col min="2317" max="2318" width="6.5" style="56" customWidth="1"/>
    <col min="2319" max="2319" width="14.83203125" style="56" customWidth="1"/>
    <col min="2320" max="2321" width="11.5" style="56" customWidth="1"/>
    <col min="2322" max="2322" width="6.1640625" style="56" customWidth="1"/>
    <col min="2323" max="2323" width="22.83203125" style="56" customWidth="1"/>
    <col min="2324" max="2324" width="11.5" style="56" customWidth="1"/>
    <col min="2325" max="2325" width="13.83203125" style="56" customWidth="1"/>
    <col min="2326" max="2326" width="5.83203125" style="56" customWidth="1"/>
    <col min="2327" max="2327" width="15.5" style="56" customWidth="1"/>
    <col min="2328" max="2568" width="11.5" style="56"/>
    <col min="2569" max="2569" width="0.5" style="56" customWidth="1"/>
    <col min="2570" max="2570" width="3.1640625" style="56" customWidth="1"/>
    <col min="2571" max="2571" width="8.83203125" style="56" customWidth="1"/>
    <col min="2572" max="2572" width="14.83203125" style="56" customWidth="1"/>
    <col min="2573" max="2574" width="6.5" style="56" customWidth="1"/>
    <col min="2575" max="2575" width="14.83203125" style="56" customWidth="1"/>
    <col min="2576" max="2577" width="11.5" style="56" customWidth="1"/>
    <col min="2578" max="2578" width="6.1640625" style="56" customWidth="1"/>
    <col min="2579" max="2579" width="22.83203125" style="56" customWidth="1"/>
    <col min="2580" max="2580" width="11.5" style="56" customWidth="1"/>
    <col min="2581" max="2581" width="13.83203125" style="56" customWidth="1"/>
    <col min="2582" max="2582" width="5.83203125" style="56" customWidth="1"/>
    <col min="2583" max="2583" width="15.5" style="56" customWidth="1"/>
    <col min="2584" max="2824" width="11.5" style="56"/>
    <col min="2825" max="2825" width="0.5" style="56" customWidth="1"/>
    <col min="2826" max="2826" width="3.1640625" style="56" customWidth="1"/>
    <col min="2827" max="2827" width="8.83203125" style="56" customWidth="1"/>
    <col min="2828" max="2828" width="14.83203125" style="56" customWidth="1"/>
    <col min="2829" max="2830" width="6.5" style="56" customWidth="1"/>
    <col min="2831" max="2831" width="14.83203125" style="56" customWidth="1"/>
    <col min="2832" max="2833" width="11.5" style="56" customWidth="1"/>
    <col min="2834" max="2834" width="6.1640625" style="56" customWidth="1"/>
    <col min="2835" max="2835" width="22.83203125" style="56" customWidth="1"/>
    <col min="2836" max="2836" width="11.5" style="56" customWidth="1"/>
    <col min="2837" max="2837" width="13.83203125" style="56" customWidth="1"/>
    <col min="2838" max="2838" width="5.83203125" style="56" customWidth="1"/>
    <col min="2839" max="2839" width="15.5" style="56" customWidth="1"/>
    <col min="2840" max="3080" width="11.5" style="56"/>
    <col min="3081" max="3081" width="0.5" style="56" customWidth="1"/>
    <col min="3082" max="3082" width="3.1640625" style="56" customWidth="1"/>
    <col min="3083" max="3083" width="8.83203125" style="56" customWidth="1"/>
    <col min="3084" max="3084" width="14.83203125" style="56" customWidth="1"/>
    <col min="3085" max="3086" width="6.5" style="56" customWidth="1"/>
    <col min="3087" max="3087" width="14.83203125" style="56" customWidth="1"/>
    <col min="3088" max="3089" width="11.5" style="56" customWidth="1"/>
    <col min="3090" max="3090" width="6.1640625" style="56" customWidth="1"/>
    <col min="3091" max="3091" width="22.83203125" style="56" customWidth="1"/>
    <col min="3092" max="3092" width="11.5" style="56" customWidth="1"/>
    <col min="3093" max="3093" width="13.83203125" style="56" customWidth="1"/>
    <col min="3094" max="3094" width="5.83203125" style="56" customWidth="1"/>
    <col min="3095" max="3095" width="15.5" style="56" customWidth="1"/>
    <col min="3096" max="3336" width="11.5" style="56"/>
    <col min="3337" max="3337" width="0.5" style="56" customWidth="1"/>
    <col min="3338" max="3338" width="3.1640625" style="56" customWidth="1"/>
    <col min="3339" max="3339" width="8.83203125" style="56" customWidth="1"/>
    <col min="3340" max="3340" width="14.83203125" style="56" customWidth="1"/>
    <col min="3341" max="3342" width="6.5" style="56" customWidth="1"/>
    <col min="3343" max="3343" width="14.83203125" style="56" customWidth="1"/>
    <col min="3344" max="3345" width="11.5" style="56" customWidth="1"/>
    <col min="3346" max="3346" width="6.1640625" style="56" customWidth="1"/>
    <col min="3347" max="3347" width="22.83203125" style="56" customWidth="1"/>
    <col min="3348" max="3348" width="11.5" style="56" customWidth="1"/>
    <col min="3349" max="3349" width="13.83203125" style="56" customWidth="1"/>
    <col min="3350" max="3350" width="5.83203125" style="56" customWidth="1"/>
    <col min="3351" max="3351" width="15.5" style="56" customWidth="1"/>
    <col min="3352" max="3592" width="11.5" style="56"/>
    <col min="3593" max="3593" width="0.5" style="56" customWidth="1"/>
    <col min="3594" max="3594" width="3.1640625" style="56" customWidth="1"/>
    <col min="3595" max="3595" width="8.83203125" style="56" customWidth="1"/>
    <col min="3596" max="3596" width="14.83203125" style="56" customWidth="1"/>
    <col min="3597" max="3598" width="6.5" style="56" customWidth="1"/>
    <col min="3599" max="3599" width="14.83203125" style="56" customWidth="1"/>
    <col min="3600" max="3601" width="11.5" style="56" customWidth="1"/>
    <col min="3602" max="3602" width="6.1640625" style="56" customWidth="1"/>
    <col min="3603" max="3603" width="22.83203125" style="56" customWidth="1"/>
    <col min="3604" max="3604" width="11.5" style="56" customWidth="1"/>
    <col min="3605" max="3605" width="13.83203125" style="56" customWidth="1"/>
    <col min="3606" max="3606" width="5.83203125" style="56" customWidth="1"/>
    <col min="3607" max="3607" width="15.5" style="56" customWidth="1"/>
    <col min="3608" max="3848" width="11.5" style="56"/>
    <col min="3849" max="3849" width="0.5" style="56" customWidth="1"/>
    <col min="3850" max="3850" width="3.1640625" style="56" customWidth="1"/>
    <col min="3851" max="3851" width="8.83203125" style="56" customWidth="1"/>
    <col min="3852" max="3852" width="14.83203125" style="56" customWidth="1"/>
    <col min="3853" max="3854" width="6.5" style="56" customWidth="1"/>
    <col min="3855" max="3855" width="14.83203125" style="56" customWidth="1"/>
    <col min="3856" max="3857" width="11.5" style="56" customWidth="1"/>
    <col min="3858" max="3858" width="6.1640625" style="56" customWidth="1"/>
    <col min="3859" max="3859" width="22.83203125" style="56" customWidth="1"/>
    <col min="3860" max="3860" width="11.5" style="56" customWidth="1"/>
    <col min="3861" max="3861" width="13.83203125" style="56" customWidth="1"/>
    <col min="3862" max="3862" width="5.83203125" style="56" customWidth="1"/>
    <col min="3863" max="3863" width="15.5" style="56" customWidth="1"/>
    <col min="3864" max="4104" width="11.5" style="56"/>
    <col min="4105" max="4105" width="0.5" style="56" customWidth="1"/>
    <col min="4106" max="4106" width="3.1640625" style="56" customWidth="1"/>
    <col min="4107" max="4107" width="8.83203125" style="56" customWidth="1"/>
    <col min="4108" max="4108" width="14.83203125" style="56" customWidth="1"/>
    <col min="4109" max="4110" width="6.5" style="56" customWidth="1"/>
    <col min="4111" max="4111" width="14.83203125" style="56" customWidth="1"/>
    <col min="4112" max="4113" width="11.5" style="56" customWidth="1"/>
    <col min="4114" max="4114" width="6.1640625" style="56" customWidth="1"/>
    <col min="4115" max="4115" width="22.83203125" style="56" customWidth="1"/>
    <col min="4116" max="4116" width="11.5" style="56" customWidth="1"/>
    <col min="4117" max="4117" width="13.83203125" style="56" customWidth="1"/>
    <col min="4118" max="4118" width="5.83203125" style="56" customWidth="1"/>
    <col min="4119" max="4119" width="15.5" style="56" customWidth="1"/>
    <col min="4120" max="4360" width="11.5" style="56"/>
    <col min="4361" max="4361" width="0.5" style="56" customWidth="1"/>
    <col min="4362" max="4362" width="3.1640625" style="56" customWidth="1"/>
    <col min="4363" max="4363" width="8.83203125" style="56" customWidth="1"/>
    <col min="4364" max="4364" width="14.83203125" style="56" customWidth="1"/>
    <col min="4365" max="4366" width="6.5" style="56" customWidth="1"/>
    <col min="4367" max="4367" width="14.83203125" style="56" customWidth="1"/>
    <col min="4368" max="4369" width="11.5" style="56" customWidth="1"/>
    <col min="4370" max="4370" width="6.1640625" style="56" customWidth="1"/>
    <col min="4371" max="4371" width="22.83203125" style="56" customWidth="1"/>
    <col min="4372" max="4372" width="11.5" style="56" customWidth="1"/>
    <col min="4373" max="4373" width="13.83203125" style="56" customWidth="1"/>
    <col min="4374" max="4374" width="5.83203125" style="56" customWidth="1"/>
    <col min="4375" max="4375" width="15.5" style="56" customWidth="1"/>
    <col min="4376" max="4616" width="11.5" style="56"/>
    <col min="4617" max="4617" width="0.5" style="56" customWidth="1"/>
    <col min="4618" max="4618" width="3.1640625" style="56" customWidth="1"/>
    <col min="4619" max="4619" width="8.83203125" style="56" customWidth="1"/>
    <col min="4620" max="4620" width="14.83203125" style="56" customWidth="1"/>
    <col min="4621" max="4622" width="6.5" style="56" customWidth="1"/>
    <col min="4623" max="4623" width="14.83203125" style="56" customWidth="1"/>
    <col min="4624" max="4625" width="11.5" style="56" customWidth="1"/>
    <col min="4626" max="4626" width="6.1640625" style="56" customWidth="1"/>
    <col min="4627" max="4627" width="22.83203125" style="56" customWidth="1"/>
    <col min="4628" max="4628" width="11.5" style="56" customWidth="1"/>
    <col min="4629" max="4629" width="13.83203125" style="56" customWidth="1"/>
    <col min="4630" max="4630" width="5.83203125" style="56" customWidth="1"/>
    <col min="4631" max="4631" width="15.5" style="56" customWidth="1"/>
    <col min="4632" max="4872" width="11.5" style="56"/>
    <col min="4873" max="4873" width="0.5" style="56" customWidth="1"/>
    <col min="4874" max="4874" width="3.1640625" style="56" customWidth="1"/>
    <col min="4875" max="4875" width="8.83203125" style="56" customWidth="1"/>
    <col min="4876" max="4876" width="14.83203125" style="56" customWidth="1"/>
    <col min="4877" max="4878" width="6.5" style="56" customWidth="1"/>
    <col min="4879" max="4879" width="14.83203125" style="56" customWidth="1"/>
    <col min="4880" max="4881" width="11.5" style="56" customWidth="1"/>
    <col min="4882" max="4882" width="6.1640625" style="56" customWidth="1"/>
    <col min="4883" max="4883" width="22.83203125" style="56" customWidth="1"/>
    <col min="4884" max="4884" width="11.5" style="56" customWidth="1"/>
    <col min="4885" max="4885" width="13.83203125" style="56" customWidth="1"/>
    <col min="4886" max="4886" width="5.83203125" style="56" customWidth="1"/>
    <col min="4887" max="4887" width="15.5" style="56" customWidth="1"/>
    <col min="4888" max="5128" width="11.5" style="56"/>
    <col min="5129" max="5129" width="0.5" style="56" customWidth="1"/>
    <col min="5130" max="5130" width="3.1640625" style="56" customWidth="1"/>
    <col min="5131" max="5131" width="8.83203125" style="56" customWidth="1"/>
    <col min="5132" max="5132" width="14.83203125" style="56" customWidth="1"/>
    <col min="5133" max="5134" width="6.5" style="56" customWidth="1"/>
    <col min="5135" max="5135" width="14.83203125" style="56" customWidth="1"/>
    <col min="5136" max="5137" width="11.5" style="56" customWidth="1"/>
    <col min="5138" max="5138" width="6.1640625" style="56" customWidth="1"/>
    <col min="5139" max="5139" width="22.83203125" style="56" customWidth="1"/>
    <col min="5140" max="5140" width="11.5" style="56" customWidth="1"/>
    <col min="5141" max="5141" width="13.83203125" style="56" customWidth="1"/>
    <col min="5142" max="5142" width="5.83203125" style="56" customWidth="1"/>
    <col min="5143" max="5143" width="15.5" style="56" customWidth="1"/>
    <col min="5144" max="5384" width="11.5" style="56"/>
    <col min="5385" max="5385" width="0.5" style="56" customWidth="1"/>
    <col min="5386" max="5386" width="3.1640625" style="56" customWidth="1"/>
    <col min="5387" max="5387" width="8.83203125" style="56" customWidth="1"/>
    <col min="5388" max="5388" width="14.83203125" style="56" customWidth="1"/>
    <col min="5389" max="5390" width="6.5" style="56" customWidth="1"/>
    <col min="5391" max="5391" width="14.83203125" style="56" customWidth="1"/>
    <col min="5392" max="5393" width="11.5" style="56" customWidth="1"/>
    <col min="5394" max="5394" width="6.1640625" style="56" customWidth="1"/>
    <col min="5395" max="5395" width="22.83203125" style="56" customWidth="1"/>
    <col min="5396" max="5396" width="11.5" style="56" customWidth="1"/>
    <col min="5397" max="5397" width="13.83203125" style="56" customWidth="1"/>
    <col min="5398" max="5398" width="5.83203125" style="56" customWidth="1"/>
    <col min="5399" max="5399" width="15.5" style="56" customWidth="1"/>
    <col min="5400" max="5640" width="11.5" style="56"/>
    <col min="5641" max="5641" width="0.5" style="56" customWidth="1"/>
    <col min="5642" max="5642" width="3.1640625" style="56" customWidth="1"/>
    <col min="5643" max="5643" width="8.83203125" style="56" customWidth="1"/>
    <col min="5644" max="5644" width="14.83203125" style="56" customWidth="1"/>
    <col min="5645" max="5646" width="6.5" style="56" customWidth="1"/>
    <col min="5647" max="5647" width="14.83203125" style="56" customWidth="1"/>
    <col min="5648" max="5649" width="11.5" style="56" customWidth="1"/>
    <col min="5650" max="5650" width="6.1640625" style="56" customWidth="1"/>
    <col min="5651" max="5651" width="22.83203125" style="56" customWidth="1"/>
    <col min="5652" max="5652" width="11.5" style="56" customWidth="1"/>
    <col min="5653" max="5653" width="13.83203125" style="56" customWidth="1"/>
    <col min="5654" max="5654" width="5.83203125" style="56" customWidth="1"/>
    <col min="5655" max="5655" width="15.5" style="56" customWidth="1"/>
    <col min="5656" max="5896" width="11.5" style="56"/>
    <col min="5897" max="5897" width="0.5" style="56" customWidth="1"/>
    <col min="5898" max="5898" width="3.1640625" style="56" customWidth="1"/>
    <col min="5899" max="5899" width="8.83203125" style="56" customWidth="1"/>
    <col min="5900" max="5900" width="14.83203125" style="56" customWidth="1"/>
    <col min="5901" max="5902" width="6.5" style="56" customWidth="1"/>
    <col min="5903" max="5903" width="14.83203125" style="56" customWidth="1"/>
    <col min="5904" max="5905" width="11.5" style="56" customWidth="1"/>
    <col min="5906" max="5906" width="6.1640625" style="56" customWidth="1"/>
    <col min="5907" max="5907" width="22.83203125" style="56" customWidth="1"/>
    <col min="5908" max="5908" width="11.5" style="56" customWidth="1"/>
    <col min="5909" max="5909" width="13.83203125" style="56" customWidth="1"/>
    <col min="5910" max="5910" width="5.83203125" style="56" customWidth="1"/>
    <col min="5911" max="5911" width="15.5" style="56" customWidth="1"/>
    <col min="5912" max="6152" width="11.5" style="56"/>
    <col min="6153" max="6153" width="0.5" style="56" customWidth="1"/>
    <col min="6154" max="6154" width="3.1640625" style="56" customWidth="1"/>
    <col min="6155" max="6155" width="8.83203125" style="56" customWidth="1"/>
    <col min="6156" max="6156" width="14.83203125" style="56" customWidth="1"/>
    <col min="6157" max="6158" width="6.5" style="56" customWidth="1"/>
    <col min="6159" max="6159" width="14.83203125" style="56" customWidth="1"/>
    <col min="6160" max="6161" width="11.5" style="56" customWidth="1"/>
    <col min="6162" max="6162" width="6.1640625" style="56" customWidth="1"/>
    <col min="6163" max="6163" width="22.83203125" style="56" customWidth="1"/>
    <col min="6164" max="6164" width="11.5" style="56" customWidth="1"/>
    <col min="6165" max="6165" width="13.83203125" style="56" customWidth="1"/>
    <col min="6166" max="6166" width="5.83203125" style="56" customWidth="1"/>
    <col min="6167" max="6167" width="15.5" style="56" customWidth="1"/>
    <col min="6168" max="6408" width="11.5" style="56"/>
    <col min="6409" max="6409" width="0.5" style="56" customWidth="1"/>
    <col min="6410" max="6410" width="3.1640625" style="56" customWidth="1"/>
    <col min="6411" max="6411" width="8.83203125" style="56" customWidth="1"/>
    <col min="6412" max="6412" width="14.83203125" style="56" customWidth="1"/>
    <col min="6413" max="6414" width="6.5" style="56" customWidth="1"/>
    <col min="6415" max="6415" width="14.83203125" style="56" customWidth="1"/>
    <col min="6416" max="6417" width="11.5" style="56" customWidth="1"/>
    <col min="6418" max="6418" width="6.1640625" style="56" customWidth="1"/>
    <col min="6419" max="6419" width="22.83203125" style="56" customWidth="1"/>
    <col min="6420" max="6420" width="11.5" style="56" customWidth="1"/>
    <col min="6421" max="6421" width="13.83203125" style="56" customWidth="1"/>
    <col min="6422" max="6422" width="5.83203125" style="56" customWidth="1"/>
    <col min="6423" max="6423" width="15.5" style="56" customWidth="1"/>
    <col min="6424" max="6664" width="11.5" style="56"/>
    <col min="6665" max="6665" width="0.5" style="56" customWidth="1"/>
    <col min="6666" max="6666" width="3.1640625" style="56" customWidth="1"/>
    <col min="6667" max="6667" width="8.83203125" style="56" customWidth="1"/>
    <col min="6668" max="6668" width="14.83203125" style="56" customWidth="1"/>
    <col min="6669" max="6670" width="6.5" style="56" customWidth="1"/>
    <col min="6671" max="6671" width="14.83203125" style="56" customWidth="1"/>
    <col min="6672" max="6673" width="11.5" style="56" customWidth="1"/>
    <col min="6674" max="6674" width="6.1640625" style="56" customWidth="1"/>
    <col min="6675" max="6675" width="22.83203125" style="56" customWidth="1"/>
    <col min="6676" max="6676" width="11.5" style="56" customWidth="1"/>
    <col min="6677" max="6677" width="13.83203125" style="56" customWidth="1"/>
    <col min="6678" max="6678" width="5.83203125" style="56" customWidth="1"/>
    <col min="6679" max="6679" width="15.5" style="56" customWidth="1"/>
    <col min="6680" max="6920" width="11.5" style="56"/>
    <col min="6921" max="6921" width="0.5" style="56" customWidth="1"/>
    <col min="6922" max="6922" width="3.1640625" style="56" customWidth="1"/>
    <col min="6923" max="6923" width="8.83203125" style="56" customWidth="1"/>
    <col min="6924" max="6924" width="14.83203125" style="56" customWidth="1"/>
    <col min="6925" max="6926" width="6.5" style="56" customWidth="1"/>
    <col min="6927" max="6927" width="14.83203125" style="56" customWidth="1"/>
    <col min="6928" max="6929" width="11.5" style="56" customWidth="1"/>
    <col min="6930" max="6930" width="6.1640625" style="56" customWidth="1"/>
    <col min="6931" max="6931" width="22.83203125" style="56" customWidth="1"/>
    <col min="6932" max="6932" width="11.5" style="56" customWidth="1"/>
    <col min="6933" max="6933" width="13.83203125" style="56" customWidth="1"/>
    <col min="6934" max="6934" width="5.83203125" style="56" customWidth="1"/>
    <col min="6935" max="6935" width="15.5" style="56" customWidth="1"/>
    <col min="6936" max="7176" width="11.5" style="56"/>
    <col min="7177" max="7177" width="0.5" style="56" customWidth="1"/>
    <col min="7178" max="7178" width="3.1640625" style="56" customWidth="1"/>
    <col min="7179" max="7179" width="8.83203125" style="56" customWidth="1"/>
    <col min="7180" max="7180" width="14.83203125" style="56" customWidth="1"/>
    <col min="7181" max="7182" width="6.5" style="56" customWidth="1"/>
    <col min="7183" max="7183" width="14.83203125" style="56" customWidth="1"/>
    <col min="7184" max="7185" width="11.5" style="56" customWidth="1"/>
    <col min="7186" max="7186" width="6.1640625" style="56" customWidth="1"/>
    <col min="7187" max="7187" width="22.83203125" style="56" customWidth="1"/>
    <col min="7188" max="7188" width="11.5" style="56" customWidth="1"/>
    <col min="7189" max="7189" width="13.83203125" style="56" customWidth="1"/>
    <col min="7190" max="7190" width="5.83203125" style="56" customWidth="1"/>
    <col min="7191" max="7191" width="15.5" style="56" customWidth="1"/>
    <col min="7192" max="7432" width="11.5" style="56"/>
    <col min="7433" max="7433" width="0.5" style="56" customWidth="1"/>
    <col min="7434" max="7434" width="3.1640625" style="56" customWidth="1"/>
    <col min="7435" max="7435" width="8.83203125" style="56" customWidth="1"/>
    <col min="7436" max="7436" width="14.83203125" style="56" customWidth="1"/>
    <col min="7437" max="7438" width="6.5" style="56" customWidth="1"/>
    <col min="7439" max="7439" width="14.83203125" style="56" customWidth="1"/>
    <col min="7440" max="7441" width="11.5" style="56" customWidth="1"/>
    <col min="7442" max="7442" width="6.1640625" style="56" customWidth="1"/>
    <col min="7443" max="7443" width="22.83203125" style="56" customWidth="1"/>
    <col min="7444" max="7444" width="11.5" style="56" customWidth="1"/>
    <col min="7445" max="7445" width="13.83203125" style="56" customWidth="1"/>
    <col min="7446" max="7446" width="5.83203125" style="56" customWidth="1"/>
    <col min="7447" max="7447" width="15.5" style="56" customWidth="1"/>
    <col min="7448" max="7688" width="11.5" style="56"/>
    <col min="7689" max="7689" width="0.5" style="56" customWidth="1"/>
    <col min="7690" max="7690" width="3.1640625" style="56" customWidth="1"/>
    <col min="7691" max="7691" width="8.83203125" style="56" customWidth="1"/>
    <col min="7692" max="7692" width="14.83203125" style="56" customWidth="1"/>
    <col min="7693" max="7694" width="6.5" style="56" customWidth="1"/>
    <col min="7695" max="7695" width="14.83203125" style="56" customWidth="1"/>
    <col min="7696" max="7697" width="11.5" style="56" customWidth="1"/>
    <col min="7698" max="7698" width="6.1640625" style="56" customWidth="1"/>
    <col min="7699" max="7699" width="22.83203125" style="56" customWidth="1"/>
    <col min="7700" max="7700" width="11.5" style="56" customWidth="1"/>
    <col min="7701" max="7701" width="13.83203125" style="56" customWidth="1"/>
    <col min="7702" max="7702" width="5.83203125" style="56" customWidth="1"/>
    <col min="7703" max="7703" width="15.5" style="56" customWidth="1"/>
    <col min="7704" max="7944" width="11.5" style="56"/>
    <col min="7945" max="7945" width="0.5" style="56" customWidth="1"/>
    <col min="7946" max="7946" width="3.1640625" style="56" customWidth="1"/>
    <col min="7947" max="7947" width="8.83203125" style="56" customWidth="1"/>
    <col min="7948" max="7948" width="14.83203125" style="56" customWidth="1"/>
    <col min="7949" max="7950" width="6.5" style="56" customWidth="1"/>
    <col min="7951" max="7951" width="14.83203125" style="56" customWidth="1"/>
    <col min="7952" max="7953" width="11.5" style="56" customWidth="1"/>
    <col min="7954" max="7954" width="6.1640625" style="56" customWidth="1"/>
    <col min="7955" max="7955" width="22.83203125" style="56" customWidth="1"/>
    <col min="7956" max="7956" width="11.5" style="56" customWidth="1"/>
    <col min="7957" max="7957" width="13.83203125" style="56" customWidth="1"/>
    <col min="7958" max="7958" width="5.83203125" style="56" customWidth="1"/>
    <col min="7959" max="7959" width="15.5" style="56" customWidth="1"/>
    <col min="7960" max="8200" width="11.5" style="56"/>
    <col min="8201" max="8201" width="0.5" style="56" customWidth="1"/>
    <col min="8202" max="8202" width="3.1640625" style="56" customWidth="1"/>
    <col min="8203" max="8203" width="8.83203125" style="56" customWidth="1"/>
    <col min="8204" max="8204" width="14.83203125" style="56" customWidth="1"/>
    <col min="8205" max="8206" width="6.5" style="56" customWidth="1"/>
    <col min="8207" max="8207" width="14.83203125" style="56" customWidth="1"/>
    <col min="8208" max="8209" width="11.5" style="56" customWidth="1"/>
    <col min="8210" max="8210" width="6.1640625" style="56" customWidth="1"/>
    <col min="8211" max="8211" width="22.83203125" style="56" customWidth="1"/>
    <col min="8212" max="8212" width="11.5" style="56" customWidth="1"/>
    <col min="8213" max="8213" width="13.83203125" style="56" customWidth="1"/>
    <col min="8214" max="8214" width="5.83203125" style="56" customWidth="1"/>
    <col min="8215" max="8215" width="15.5" style="56" customWidth="1"/>
    <col min="8216" max="8456" width="11.5" style="56"/>
    <col min="8457" max="8457" width="0.5" style="56" customWidth="1"/>
    <col min="8458" max="8458" width="3.1640625" style="56" customWidth="1"/>
    <col min="8459" max="8459" width="8.83203125" style="56" customWidth="1"/>
    <col min="8460" max="8460" width="14.83203125" style="56" customWidth="1"/>
    <col min="8461" max="8462" width="6.5" style="56" customWidth="1"/>
    <col min="8463" max="8463" width="14.83203125" style="56" customWidth="1"/>
    <col min="8464" max="8465" width="11.5" style="56" customWidth="1"/>
    <col min="8466" max="8466" width="6.1640625" style="56" customWidth="1"/>
    <col min="8467" max="8467" width="22.83203125" style="56" customWidth="1"/>
    <col min="8468" max="8468" width="11.5" style="56" customWidth="1"/>
    <col min="8469" max="8469" width="13.83203125" style="56" customWidth="1"/>
    <col min="8470" max="8470" width="5.83203125" style="56" customWidth="1"/>
    <col min="8471" max="8471" width="15.5" style="56" customWidth="1"/>
    <col min="8472" max="8712" width="11.5" style="56"/>
    <col min="8713" max="8713" width="0.5" style="56" customWidth="1"/>
    <col min="8714" max="8714" width="3.1640625" style="56" customWidth="1"/>
    <col min="8715" max="8715" width="8.83203125" style="56" customWidth="1"/>
    <col min="8716" max="8716" width="14.83203125" style="56" customWidth="1"/>
    <col min="8717" max="8718" width="6.5" style="56" customWidth="1"/>
    <col min="8719" max="8719" width="14.83203125" style="56" customWidth="1"/>
    <col min="8720" max="8721" width="11.5" style="56" customWidth="1"/>
    <col min="8722" max="8722" width="6.1640625" style="56" customWidth="1"/>
    <col min="8723" max="8723" width="22.83203125" style="56" customWidth="1"/>
    <col min="8724" max="8724" width="11.5" style="56" customWidth="1"/>
    <col min="8725" max="8725" width="13.83203125" style="56" customWidth="1"/>
    <col min="8726" max="8726" width="5.83203125" style="56" customWidth="1"/>
    <col min="8727" max="8727" width="15.5" style="56" customWidth="1"/>
    <col min="8728" max="8968" width="11.5" style="56"/>
    <col min="8969" max="8969" width="0.5" style="56" customWidth="1"/>
    <col min="8970" max="8970" width="3.1640625" style="56" customWidth="1"/>
    <col min="8971" max="8971" width="8.83203125" style="56" customWidth="1"/>
    <col min="8972" max="8972" width="14.83203125" style="56" customWidth="1"/>
    <col min="8973" max="8974" width="6.5" style="56" customWidth="1"/>
    <col min="8975" max="8975" width="14.83203125" style="56" customWidth="1"/>
    <col min="8976" max="8977" width="11.5" style="56" customWidth="1"/>
    <col min="8978" max="8978" width="6.1640625" style="56" customWidth="1"/>
    <col min="8979" max="8979" width="22.83203125" style="56" customWidth="1"/>
    <col min="8980" max="8980" width="11.5" style="56" customWidth="1"/>
    <col min="8981" max="8981" width="13.83203125" style="56" customWidth="1"/>
    <col min="8982" max="8982" width="5.83203125" style="56" customWidth="1"/>
    <col min="8983" max="8983" width="15.5" style="56" customWidth="1"/>
    <col min="8984" max="9224" width="11.5" style="56"/>
    <col min="9225" max="9225" width="0.5" style="56" customWidth="1"/>
    <col min="9226" max="9226" width="3.1640625" style="56" customWidth="1"/>
    <col min="9227" max="9227" width="8.83203125" style="56" customWidth="1"/>
    <col min="9228" max="9228" width="14.83203125" style="56" customWidth="1"/>
    <col min="9229" max="9230" width="6.5" style="56" customWidth="1"/>
    <col min="9231" max="9231" width="14.83203125" style="56" customWidth="1"/>
    <col min="9232" max="9233" width="11.5" style="56" customWidth="1"/>
    <col min="9234" max="9234" width="6.1640625" style="56" customWidth="1"/>
    <col min="9235" max="9235" width="22.83203125" style="56" customWidth="1"/>
    <col min="9236" max="9236" width="11.5" style="56" customWidth="1"/>
    <col min="9237" max="9237" width="13.83203125" style="56" customWidth="1"/>
    <col min="9238" max="9238" width="5.83203125" style="56" customWidth="1"/>
    <col min="9239" max="9239" width="15.5" style="56" customWidth="1"/>
    <col min="9240" max="9480" width="11.5" style="56"/>
    <col min="9481" max="9481" width="0.5" style="56" customWidth="1"/>
    <col min="9482" max="9482" width="3.1640625" style="56" customWidth="1"/>
    <col min="9483" max="9483" width="8.83203125" style="56" customWidth="1"/>
    <col min="9484" max="9484" width="14.83203125" style="56" customWidth="1"/>
    <col min="9485" max="9486" width="6.5" style="56" customWidth="1"/>
    <col min="9487" max="9487" width="14.83203125" style="56" customWidth="1"/>
    <col min="9488" max="9489" width="11.5" style="56" customWidth="1"/>
    <col min="9490" max="9490" width="6.1640625" style="56" customWidth="1"/>
    <col min="9491" max="9491" width="22.83203125" style="56" customWidth="1"/>
    <col min="9492" max="9492" width="11.5" style="56" customWidth="1"/>
    <col min="9493" max="9493" width="13.83203125" style="56" customWidth="1"/>
    <col min="9494" max="9494" width="5.83203125" style="56" customWidth="1"/>
    <col min="9495" max="9495" width="15.5" style="56" customWidth="1"/>
    <col min="9496" max="9736" width="11.5" style="56"/>
    <col min="9737" max="9737" width="0.5" style="56" customWidth="1"/>
    <col min="9738" max="9738" width="3.1640625" style="56" customWidth="1"/>
    <col min="9739" max="9739" width="8.83203125" style="56" customWidth="1"/>
    <col min="9740" max="9740" width="14.83203125" style="56" customWidth="1"/>
    <col min="9741" max="9742" width="6.5" style="56" customWidth="1"/>
    <col min="9743" max="9743" width="14.83203125" style="56" customWidth="1"/>
    <col min="9744" max="9745" width="11.5" style="56" customWidth="1"/>
    <col min="9746" max="9746" width="6.1640625" style="56" customWidth="1"/>
    <col min="9747" max="9747" width="22.83203125" style="56" customWidth="1"/>
    <col min="9748" max="9748" width="11.5" style="56" customWidth="1"/>
    <col min="9749" max="9749" width="13.83203125" style="56" customWidth="1"/>
    <col min="9750" max="9750" width="5.83203125" style="56" customWidth="1"/>
    <col min="9751" max="9751" width="15.5" style="56" customWidth="1"/>
    <col min="9752" max="9992" width="11.5" style="56"/>
    <col min="9993" max="9993" width="0.5" style="56" customWidth="1"/>
    <col min="9994" max="9994" width="3.1640625" style="56" customWidth="1"/>
    <col min="9995" max="9995" width="8.83203125" style="56" customWidth="1"/>
    <col min="9996" max="9996" width="14.83203125" style="56" customWidth="1"/>
    <col min="9997" max="9998" width="6.5" style="56" customWidth="1"/>
    <col min="9999" max="9999" width="14.83203125" style="56" customWidth="1"/>
    <col min="10000" max="10001" width="11.5" style="56" customWidth="1"/>
    <col min="10002" max="10002" width="6.1640625" style="56" customWidth="1"/>
    <col min="10003" max="10003" width="22.83203125" style="56" customWidth="1"/>
    <col min="10004" max="10004" width="11.5" style="56" customWidth="1"/>
    <col min="10005" max="10005" width="13.83203125" style="56" customWidth="1"/>
    <col min="10006" max="10006" width="5.83203125" style="56" customWidth="1"/>
    <col min="10007" max="10007" width="15.5" style="56" customWidth="1"/>
    <col min="10008" max="10248" width="11.5" style="56"/>
    <col min="10249" max="10249" width="0.5" style="56" customWidth="1"/>
    <col min="10250" max="10250" width="3.1640625" style="56" customWidth="1"/>
    <col min="10251" max="10251" width="8.83203125" style="56" customWidth="1"/>
    <col min="10252" max="10252" width="14.83203125" style="56" customWidth="1"/>
    <col min="10253" max="10254" width="6.5" style="56" customWidth="1"/>
    <col min="10255" max="10255" width="14.83203125" style="56" customWidth="1"/>
    <col min="10256" max="10257" width="11.5" style="56" customWidth="1"/>
    <col min="10258" max="10258" width="6.1640625" style="56" customWidth="1"/>
    <col min="10259" max="10259" width="22.83203125" style="56" customWidth="1"/>
    <col min="10260" max="10260" width="11.5" style="56" customWidth="1"/>
    <col min="10261" max="10261" width="13.83203125" style="56" customWidth="1"/>
    <col min="10262" max="10262" width="5.83203125" style="56" customWidth="1"/>
    <col min="10263" max="10263" width="15.5" style="56" customWidth="1"/>
    <col min="10264" max="10504" width="11.5" style="56"/>
    <col min="10505" max="10505" width="0.5" style="56" customWidth="1"/>
    <col min="10506" max="10506" width="3.1640625" style="56" customWidth="1"/>
    <col min="10507" max="10507" width="8.83203125" style="56" customWidth="1"/>
    <col min="10508" max="10508" width="14.83203125" style="56" customWidth="1"/>
    <col min="10509" max="10510" width="6.5" style="56" customWidth="1"/>
    <col min="10511" max="10511" width="14.83203125" style="56" customWidth="1"/>
    <col min="10512" max="10513" width="11.5" style="56" customWidth="1"/>
    <col min="10514" max="10514" width="6.1640625" style="56" customWidth="1"/>
    <col min="10515" max="10515" width="22.83203125" style="56" customWidth="1"/>
    <col min="10516" max="10516" width="11.5" style="56" customWidth="1"/>
    <col min="10517" max="10517" width="13.83203125" style="56" customWidth="1"/>
    <col min="10518" max="10518" width="5.83203125" style="56" customWidth="1"/>
    <col min="10519" max="10519" width="15.5" style="56" customWidth="1"/>
    <col min="10520" max="10760" width="11.5" style="56"/>
    <col min="10761" max="10761" width="0.5" style="56" customWidth="1"/>
    <col min="10762" max="10762" width="3.1640625" style="56" customWidth="1"/>
    <col min="10763" max="10763" width="8.83203125" style="56" customWidth="1"/>
    <col min="10764" max="10764" width="14.83203125" style="56" customWidth="1"/>
    <col min="10765" max="10766" width="6.5" style="56" customWidth="1"/>
    <col min="10767" max="10767" width="14.83203125" style="56" customWidth="1"/>
    <col min="10768" max="10769" width="11.5" style="56" customWidth="1"/>
    <col min="10770" max="10770" width="6.1640625" style="56" customWidth="1"/>
    <col min="10771" max="10771" width="22.83203125" style="56" customWidth="1"/>
    <col min="10772" max="10772" width="11.5" style="56" customWidth="1"/>
    <col min="10773" max="10773" width="13.83203125" style="56" customWidth="1"/>
    <col min="10774" max="10774" width="5.83203125" style="56" customWidth="1"/>
    <col min="10775" max="10775" width="15.5" style="56" customWidth="1"/>
    <col min="10776" max="11016" width="11.5" style="56"/>
    <col min="11017" max="11017" width="0.5" style="56" customWidth="1"/>
    <col min="11018" max="11018" width="3.1640625" style="56" customWidth="1"/>
    <col min="11019" max="11019" width="8.83203125" style="56" customWidth="1"/>
    <col min="11020" max="11020" width="14.83203125" style="56" customWidth="1"/>
    <col min="11021" max="11022" width="6.5" style="56" customWidth="1"/>
    <col min="11023" max="11023" width="14.83203125" style="56" customWidth="1"/>
    <col min="11024" max="11025" width="11.5" style="56" customWidth="1"/>
    <col min="11026" max="11026" width="6.1640625" style="56" customWidth="1"/>
    <col min="11027" max="11027" width="22.83203125" style="56" customWidth="1"/>
    <col min="11028" max="11028" width="11.5" style="56" customWidth="1"/>
    <col min="11029" max="11029" width="13.83203125" style="56" customWidth="1"/>
    <col min="11030" max="11030" width="5.83203125" style="56" customWidth="1"/>
    <col min="11031" max="11031" width="15.5" style="56" customWidth="1"/>
    <col min="11032" max="11272" width="11.5" style="56"/>
    <col min="11273" max="11273" width="0.5" style="56" customWidth="1"/>
    <col min="11274" max="11274" width="3.1640625" style="56" customWidth="1"/>
    <col min="11275" max="11275" width="8.83203125" style="56" customWidth="1"/>
    <col min="11276" max="11276" width="14.83203125" style="56" customWidth="1"/>
    <col min="11277" max="11278" width="6.5" style="56" customWidth="1"/>
    <col min="11279" max="11279" width="14.83203125" style="56" customWidth="1"/>
    <col min="11280" max="11281" width="11.5" style="56" customWidth="1"/>
    <col min="11282" max="11282" width="6.1640625" style="56" customWidth="1"/>
    <col min="11283" max="11283" width="22.83203125" style="56" customWidth="1"/>
    <col min="11284" max="11284" width="11.5" style="56" customWidth="1"/>
    <col min="11285" max="11285" width="13.83203125" style="56" customWidth="1"/>
    <col min="11286" max="11286" width="5.83203125" style="56" customWidth="1"/>
    <col min="11287" max="11287" width="15.5" style="56" customWidth="1"/>
    <col min="11288" max="11528" width="11.5" style="56"/>
    <col min="11529" max="11529" width="0.5" style="56" customWidth="1"/>
    <col min="11530" max="11530" width="3.1640625" style="56" customWidth="1"/>
    <col min="11531" max="11531" width="8.83203125" style="56" customWidth="1"/>
    <col min="11532" max="11532" width="14.83203125" style="56" customWidth="1"/>
    <col min="11533" max="11534" width="6.5" style="56" customWidth="1"/>
    <col min="11535" max="11535" width="14.83203125" style="56" customWidth="1"/>
    <col min="11536" max="11537" width="11.5" style="56" customWidth="1"/>
    <col min="11538" max="11538" width="6.1640625" style="56" customWidth="1"/>
    <col min="11539" max="11539" width="22.83203125" style="56" customWidth="1"/>
    <col min="11540" max="11540" width="11.5" style="56" customWidth="1"/>
    <col min="11541" max="11541" width="13.83203125" style="56" customWidth="1"/>
    <col min="11542" max="11542" width="5.83203125" style="56" customWidth="1"/>
    <col min="11543" max="11543" width="15.5" style="56" customWidth="1"/>
    <col min="11544" max="11784" width="11.5" style="56"/>
    <col min="11785" max="11785" width="0.5" style="56" customWidth="1"/>
    <col min="11786" max="11786" width="3.1640625" style="56" customWidth="1"/>
    <col min="11787" max="11787" width="8.83203125" style="56" customWidth="1"/>
    <col min="11788" max="11788" width="14.83203125" style="56" customWidth="1"/>
    <col min="11789" max="11790" width="6.5" style="56" customWidth="1"/>
    <col min="11791" max="11791" width="14.83203125" style="56" customWidth="1"/>
    <col min="11792" max="11793" width="11.5" style="56" customWidth="1"/>
    <col min="11794" max="11794" width="6.1640625" style="56" customWidth="1"/>
    <col min="11795" max="11795" width="22.83203125" style="56" customWidth="1"/>
    <col min="11796" max="11796" width="11.5" style="56" customWidth="1"/>
    <col min="11797" max="11797" width="13.83203125" style="56" customWidth="1"/>
    <col min="11798" max="11798" width="5.83203125" style="56" customWidth="1"/>
    <col min="11799" max="11799" width="15.5" style="56" customWidth="1"/>
    <col min="11800" max="12040" width="11.5" style="56"/>
    <col min="12041" max="12041" width="0.5" style="56" customWidth="1"/>
    <col min="12042" max="12042" width="3.1640625" style="56" customWidth="1"/>
    <col min="12043" max="12043" width="8.83203125" style="56" customWidth="1"/>
    <col min="12044" max="12044" width="14.83203125" style="56" customWidth="1"/>
    <col min="12045" max="12046" width="6.5" style="56" customWidth="1"/>
    <col min="12047" max="12047" width="14.83203125" style="56" customWidth="1"/>
    <col min="12048" max="12049" width="11.5" style="56" customWidth="1"/>
    <col min="12050" max="12050" width="6.1640625" style="56" customWidth="1"/>
    <col min="12051" max="12051" width="22.83203125" style="56" customWidth="1"/>
    <col min="12052" max="12052" width="11.5" style="56" customWidth="1"/>
    <col min="12053" max="12053" width="13.83203125" style="56" customWidth="1"/>
    <col min="12054" max="12054" width="5.83203125" style="56" customWidth="1"/>
    <col min="12055" max="12055" width="15.5" style="56" customWidth="1"/>
    <col min="12056" max="12296" width="11.5" style="56"/>
    <col min="12297" max="12297" width="0.5" style="56" customWidth="1"/>
    <col min="12298" max="12298" width="3.1640625" style="56" customWidth="1"/>
    <col min="12299" max="12299" width="8.83203125" style="56" customWidth="1"/>
    <col min="12300" max="12300" width="14.83203125" style="56" customWidth="1"/>
    <col min="12301" max="12302" width="6.5" style="56" customWidth="1"/>
    <col min="12303" max="12303" width="14.83203125" style="56" customWidth="1"/>
    <col min="12304" max="12305" width="11.5" style="56" customWidth="1"/>
    <col min="12306" max="12306" width="6.1640625" style="56" customWidth="1"/>
    <col min="12307" max="12307" width="22.83203125" style="56" customWidth="1"/>
    <col min="12308" max="12308" width="11.5" style="56" customWidth="1"/>
    <col min="12309" max="12309" width="13.83203125" style="56" customWidth="1"/>
    <col min="12310" max="12310" width="5.83203125" style="56" customWidth="1"/>
    <col min="12311" max="12311" width="15.5" style="56" customWidth="1"/>
    <col min="12312" max="12552" width="11.5" style="56"/>
    <col min="12553" max="12553" width="0.5" style="56" customWidth="1"/>
    <col min="12554" max="12554" width="3.1640625" style="56" customWidth="1"/>
    <col min="12555" max="12555" width="8.83203125" style="56" customWidth="1"/>
    <col min="12556" max="12556" width="14.83203125" style="56" customWidth="1"/>
    <col min="12557" max="12558" width="6.5" style="56" customWidth="1"/>
    <col min="12559" max="12559" width="14.83203125" style="56" customWidth="1"/>
    <col min="12560" max="12561" width="11.5" style="56" customWidth="1"/>
    <col min="12562" max="12562" width="6.1640625" style="56" customWidth="1"/>
    <col min="12563" max="12563" width="22.83203125" style="56" customWidth="1"/>
    <col min="12564" max="12564" width="11.5" style="56" customWidth="1"/>
    <col min="12565" max="12565" width="13.83203125" style="56" customWidth="1"/>
    <col min="12566" max="12566" width="5.83203125" style="56" customWidth="1"/>
    <col min="12567" max="12567" width="15.5" style="56" customWidth="1"/>
    <col min="12568" max="12808" width="11.5" style="56"/>
    <col min="12809" max="12809" width="0.5" style="56" customWidth="1"/>
    <col min="12810" max="12810" width="3.1640625" style="56" customWidth="1"/>
    <col min="12811" max="12811" width="8.83203125" style="56" customWidth="1"/>
    <col min="12812" max="12812" width="14.83203125" style="56" customWidth="1"/>
    <col min="12813" max="12814" width="6.5" style="56" customWidth="1"/>
    <col min="12815" max="12815" width="14.83203125" style="56" customWidth="1"/>
    <col min="12816" max="12817" width="11.5" style="56" customWidth="1"/>
    <col min="12818" max="12818" width="6.1640625" style="56" customWidth="1"/>
    <col min="12819" max="12819" width="22.83203125" style="56" customWidth="1"/>
    <col min="12820" max="12820" width="11.5" style="56" customWidth="1"/>
    <col min="12821" max="12821" width="13.83203125" style="56" customWidth="1"/>
    <col min="12822" max="12822" width="5.83203125" style="56" customWidth="1"/>
    <col min="12823" max="12823" width="15.5" style="56" customWidth="1"/>
    <col min="12824" max="13064" width="11.5" style="56"/>
    <col min="13065" max="13065" width="0.5" style="56" customWidth="1"/>
    <col min="13066" max="13066" width="3.1640625" style="56" customWidth="1"/>
    <col min="13067" max="13067" width="8.83203125" style="56" customWidth="1"/>
    <col min="13068" max="13068" width="14.83203125" style="56" customWidth="1"/>
    <col min="13069" max="13070" width="6.5" style="56" customWidth="1"/>
    <col min="13071" max="13071" width="14.83203125" style="56" customWidth="1"/>
    <col min="13072" max="13073" width="11.5" style="56" customWidth="1"/>
    <col min="13074" max="13074" width="6.1640625" style="56" customWidth="1"/>
    <col min="13075" max="13075" width="22.83203125" style="56" customWidth="1"/>
    <col min="13076" max="13076" width="11.5" style="56" customWidth="1"/>
    <col min="13077" max="13077" width="13.83203125" style="56" customWidth="1"/>
    <col min="13078" max="13078" width="5.83203125" style="56" customWidth="1"/>
    <col min="13079" max="13079" width="15.5" style="56" customWidth="1"/>
    <col min="13080" max="13320" width="11.5" style="56"/>
    <col min="13321" max="13321" width="0.5" style="56" customWidth="1"/>
    <col min="13322" max="13322" width="3.1640625" style="56" customWidth="1"/>
    <col min="13323" max="13323" width="8.83203125" style="56" customWidth="1"/>
    <col min="13324" max="13324" width="14.83203125" style="56" customWidth="1"/>
    <col min="13325" max="13326" width="6.5" style="56" customWidth="1"/>
    <col min="13327" max="13327" width="14.83203125" style="56" customWidth="1"/>
    <col min="13328" max="13329" width="11.5" style="56" customWidth="1"/>
    <col min="13330" max="13330" width="6.1640625" style="56" customWidth="1"/>
    <col min="13331" max="13331" width="22.83203125" style="56" customWidth="1"/>
    <col min="13332" max="13332" width="11.5" style="56" customWidth="1"/>
    <col min="13333" max="13333" width="13.83203125" style="56" customWidth="1"/>
    <col min="13334" max="13334" width="5.83203125" style="56" customWidth="1"/>
    <col min="13335" max="13335" width="15.5" style="56" customWidth="1"/>
    <col min="13336" max="13576" width="11.5" style="56"/>
    <col min="13577" max="13577" width="0.5" style="56" customWidth="1"/>
    <col min="13578" max="13578" width="3.1640625" style="56" customWidth="1"/>
    <col min="13579" max="13579" width="8.83203125" style="56" customWidth="1"/>
    <col min="13580" max="13580" width="14.83203125" style="56" customWidth="1"/>
    <col min="13581" max="13582" width="6.5" style="56" customWidth="1"/>
    <col min="13583" max="13583" width="14.83203125" style="56" customWidth="1"/>
    <col min="13584" max="13585" width="11.5" style="56" customWidth="1"/>
    <col min="13586" max="13586" width="6.1640625" style="56" customWidth="1"/>
    <col min="13587" max="13587" width="22.83203125" style="56" customWidth="1"/>
    <col min="13588" max="13588" width="11.5" style="56" customWidth="1"/>
    <col min="13589" max="13589" width="13.83203125" style="56" customWidth="1"/>
    <col min="13590" max="13590" width="5.83203125" style="56" customWidth="1"/>
    <col min="13591" max="13591" width="15.5" style="56" customWidth="1"/>
    <col min="13592" max="13832" width="11.5" style="56"/>
    <col min="13833" max="13833" width="0.5" style="56" customWidth="1"/>
    <col min="13834" max="13834" width="3.1640625" style="56" customWidth="1"/>
    <col min="13835" max="13835" width="8.83203125" style="56" customWidth="1"/>
    <col min="13836" max="13836" width="14.83203125" style="56" customWidth="1"/>
    <col min="13837" max="13838" width="6.5" style="56" customWidth="1"/>
    <col min="13839" max="13839" width="14.83203125" style="56" customWidth="1"/>
    <col min="13840" max="13841" width="11.5" style="56" customWidth="1"/>
    <col min="13842" max="13842" width="6.1640625" style="56" customWidth="1"/>
    <col min="13843" max="13843" width="22.83203125" style="56" customWidth="1"/>
    <col min="13844" max="13844" width="11.5" style="56" customWidth="1"/>
    <col min="13845" max="13845" width="13.83203125" style="56" customWidth="1"/>
    <col min="13846" max="13846" width="5.83203125" style="56" customWidth="1"/>
    <col min="13847" max="13847" width="15.5" style="56" customWidth="1"/>
    <col min="13848" max="14088" width="11.5" style="56"/>
    <col min="14089" max="14089" width="0.5" style="56" customWidth="1"/>
    <col min="14090" max="14090" width="3.1640625" style="56" customWidth="1"/>
    <col min="14091" max="14091" width="8.83203125" style="56" customWidth="1"/>
    <col min="14092" max="14092" width="14.83203125" style="56" customWidth="1"/>
    <col min="14093" max="14094" width="6.5" style="56" customWidth="1"/>
    <col min="14095" max="14095" width="14.83203125" style="56" customWidth="1"/>
    <col min="14096" max="14097" width="11.5" style="56" customWidth="1"/>
    <col min="14098" max="14098" width="6.1640625" style="56" customWidth="1"/>
    <col min="14099" max="14099" width="22.83203125" style="56" customWidth="1"/>
    <col min="14100" max="14100" width="11.5" style="56" customWidth="1"/>
    <col min="14101" max="14101" width="13.83203125" style="56" customWidth="1"/>
    <col min="14102" max="14102" width="5.83203125" style="56" customWidth="1"/>
    <col min="14103" max="14103" width="15.5" style="56" customWidth="1"/>
    <col min="14104" max="14344" width="11.5" style="56"/>
    <col min="14345" max="14345" width="0.5" style="56" customWidth="1"/>
    <col min="14346" max="14346" width="3.1640625" style="56" customWidth="1"/>
    <col min="14347" max="14347" width="8.83203125" style="56" customWidth="1"/>
    <col min="14348" max="14348" width="14.83203125" style="56" customWidth="1"/>
    <col min="14349" max="14350" width="6.5" style="56" customWidth="1"/>
    <col min="14351" max="14351" width="14.83203125" style="56" customWidth="1"/>
    <col min="14352" max="14353" width="11.5" style="56" customWidth="1"/>
    <col min="14354" max="14354" width="6.1640625" style="56" customWidth="1"/>
    <col min="14355" max="14355" width="22.83203125" style="56" customWidth="1"/>
    <col min="14356" max="14356" width="11.5" style="56" customWidth="1"/>
    <col min="14357" max="14357" width="13.83203125" style="56" customWidth="1"/>
    <col min="14358" max="14358" width="5.83203125" style="56" customWidth="1"/>
    <col min="14359" max="14359" width="15.5" style="56" customWidth="1"/>
    <col min="14360" max="14600" width="11.5" style="56"/>
    <col min="14601" max="14601" width="0.5" style="56" customWidth="1"/>
    <col min="14602" max="14602" width="3.1640625" style="56" customWidth="1"/>
    <col min="14603" max="14603" width="8.83203125" style="56" customWidth="1"/>
    <col min="14604" max="14604" width="14.83203125" style="56" customWidth="1"/>
    <col min="14605" max="14606" width="6.5" style="56" customWidth="1"/>
    <col min="14607" max="14607" width="14.83203125" style="56" customWidth="1"/>
    <col min="14608" max="14609" width="11.5" style="56" customWidth="1"/>
    <col min="14610" max="14610" width="6.1640625" style="56" customWidth="1"/>
    <col min="14611" max="14611" width="22.83203125" style="56" customWidth="1"/>
    <col min="14612" max="14612" width="11.5" style="56" customWidth="1"/>
    <col min="14613" max="14613" width="13.83203125" style="56" customWidth="1"/>
    <col min="14614" max="14614" width="5.83203125" style="56" customWidth="1"/>
    <col min="14615" max="14615" width="15.5" style="56" customWidth="1"/>
    <col min="14616" max="14856" width="11.5" style="56"/>
    <col min="14857" max="14857" width="0.5" style="56" customWidth="1"/>
    <col min="14858" max="14858" width="3.1640625" style="56" customWidth="1"/>
    <col min="14859" max="14859" width="8.83203125" style="56" customWidth="1"/>
    <col min="14860" max="14860" width="14.83203125" style="56" customWidth="1"/>
    <col min="14861" max="14862" width="6.5" style="56" customWidth="1"/>
    <col min="14863" max="14863" width="14.83203125" style="56" customWidth="1"/>
    <col min="14864" max="14865" width="11.5" style="56" customWidth="1"/>
    <col min="14866" max="14866" width="6.1640625" style="56" customWidth="1"/>
    <col min="14867" max="14867" width="22.83203125" style="56" customWidth="1"/>
    <col min="14868" max="14868" width="11.5" style="56" customWidth="1"/>
    <col min="14869" max="14869" width="13.83203125" style="56" customWidth="1"/>
    <col min="14870" max="14870" width="5.83203125" style="56" customWidth="1"/>
    <col min="14871" max="14871" width="15.5" style="56" customWidth="1"/>
    <col min="14872" max="15112" width="11.5" style="56"/>
    <col min="15113" max="15113" width="0.5" style="56" customWidth="1"/>
    <col min="15114" max="15114" width="3.1640625" style="56" customWidth="1"/>
    <col min="15115" max="15115" width="8.83203125" style="56" customWidth="1"/>
    <col min="15116" max="15116" width="14.83203125" style="56" customWidth="1"/>
    <col min="15117" max="15118" width="6.5" style="56" customWidth="1"/>
    <col min="15119" max="15119" width="14.83203125" style="56" customWidth="1"/>
    <col min="15120" max="15121" width="11.5" style="56" customWidth="1"/>
    <col min="15122" max="15122" width="6.1640625" style="56" customWidth="1"/>
    <col min="15123" max="15123" width="22.83203125" style="56" customWidth="1"/>
    <col min="15124" max="15124" width="11.5" style="56" customWidth="1"/>
    <col min="15125" max="15125" width="13.83203125" style="56" customWidth="1"/>
    <col min="15126" max="15126" width="5.83203125" style="56" customWidth="1"/>
    <col min="15127" max="15127" width="15.5" style="56" customWidth="1"/>
    <col min="15128" max="15368" width="11.5" style="56"/>
    <col min="15369" max="15369" width="0.5" style="56" customWidth="1"/>
    <col min="15370" max="15370" width="3.1640625" style="56" customWidth="1"/>
    <col min="15371" max="15371" width="8.83203125" style="56" customWidth="1"/>
    <col min="15372" max="15372" width="14.83203125" style="56" customWidth="1"/>
    <col min="15373" max="15374" width="6.5" style="56" customWidth="1"/>
    <col min="15375" max="15375" width="14.83203125" style="56" customWidth="1"/>
    <col min="15376" max="15377" width="11.5" style="56" customWidth="1"/>
    <col min="15378" max="15378" width="6.1640625" style="56" customWidth="1"/>
    <col min="15379" max="15379" width="22.83203125" style="56" customWidth="1"/>
    <col min="15380" max="15380" width="11.5" style="56" customWidth="1"/>
    <col min="15381" max="15381" width="13.83203125" style="56" customWidth="1"/>
    <col min="15382" max="15382" width="5.83203125" style="56" customWidth="1"/>
    <col min="15383" max="15383" width="15.5" style="56" customWidth="1"/>
    <col min="15384" max="15624" width="11.5" style="56"/>
    <col min="15625" max="15625" width="0.5" style="56" customWidth="1"/>
    <col min="15626" max="15626" width="3.1640625" style="56" customWidth="1"/>
    <col min="15627" max="15627" width="8.83203125" style="56" customWidth="1"/>
    <col min="15628" max="15628" width="14.83203125" style="56" customWidth="1"/>
    <col min="15629" max="15630" width="6.5" style="56" customWidth="1"/>
    <col min="15631" max="15631" width="14.83203125" style="56" customWidth="1"/>
    <col min="15632" max="15633" width="11.5" style="56" customWidth="1"/>
    <col min="15634" max="15634" width="6.1640625" style="56" customWidth="1"/>
    <col min="15635" max="15635" width="22.83203125" style="56" customWidth="1"/>
    <col min="15636" max="15636" width="11.5" style="56" customWidth="1"/>
    <col min="15637" max="15637" width="13.83203125" style="56" customWidth="1"/>
    <col min="15638" max="15638" width="5.83203125" style="56" customWidth="1"/>
    <col min="15639" max="15639" width="15.5" style="56" customWidth="1"/>
    <col min="15640" max="15880" width="11.5" style="56"/>
    <col min="15881" max="15881" width="0.5" style="56" customWidth="1"/>
    <col min="15882" max="15882" width="3.1640625" style="56" customWidth="1"/>
    <col min="15883" max="15883" width="8.83203125" style="56" customWidth="1"/>
    <col min="15884" max="15884" width="14.83203125" style="56" customWidth="1"/>
    <col min="15885" max="15886" width="6.5" style="56" customWidth="1"/>
    <col min="15887" max="15887" width="14.83203125" style="56" customWidth="1"/>
    <col min="15888" max="15889" width="11.5" style="56" customWidth="1"/>
    <col min="15890" max="15890" width="6.1640625" style="56" customWidth="1"/>
    <col min="15891" max="15891" width="22.83203125" style="56" customWidth="1"/>
    <col min="15892" max="15892" width="11.5" style="56" customWidth="1"/>
    <col min="15893" max="15893" width="13.83203125" style="56" customWidth="1"/>
    <col min="15894" max="15894" width="5.83203125" style="56" customWidth="1"/>
    <col min="15895" max="15895" width="15.5" style="56" customWidth="1"/>
    <col min="15896" max="16136" width="11.5" style="56"/>
    <col min="16137" max="16137" width="0.5" style="56" customWidth="1"/>
    <col min="16138" max="16138" width="3.1640625" style="56" customWidth="1"/>
    <col min="16139" max="16139" width="8.83203125" style="56" customWidth="1"/>
    <col min="16140" max="16140" width="14.83203125" style="56" customWidth="1"/>
    <col min="16141" max="16142" width="6.5" style="56" customWidth="1"/>
    <col min="16143" max="16143" width="14.83203125" style="56" customWidth="1"/>
    <col min="16144" max="16145" width="11.5" style="56" customWidth="1"/>
    <col min="16146" max="16146" width="6.1640625" style="56" customWidth="1"/>
    <col min="16147" max="16147" width="22.83203125" style="56" customWidth="1"/>
    <col min="16148" max="16148" width="11.5" style="56" customWidth="1"/>
    <col min="16149" max="16149" width="13.83203125" style="56" customWidth="1"/>
    <col min="16150" max="16150" width="5.83203125" style="56" customWidth="1"/>
    <col min="16151" max="16151" width="15.5" style="56" customWidth="1"/>
    <col min="16152" max="16384" width="11.5" style="56"/>
  </cols>
  <sheetData>
    <row r="1" spans="1:34" ht="8" customHeight="1">
      <c r="Q1" s="91"/>
      <c r="R1" s="91"/>
    </row>
    <row r="2" spans="1:34" ht="5" customHeight="1" thickBot="1">
      <c r="Q2" s="89"/>
      <c r="R2" s="89"/>
    </row>
    <row r="3" spans="1:34" s="57" customFormat="1" ht="17" customHeight="1">
      <c r="A3" s="472"/>
      <c r="B3" s="576" t="s">
        <v>115</v>
      </c>
      <c r="C3" s="577"/>
      <c r="D3" s="577"/>
      <c r="E3" s="577"/>
      <c r="F3" s="577"/>
      <c r="G3" s="577"/>
      <c r="H3" s="577"/>
      <c r="I3" s="577"/>
      <c r="J3" s="578"/>
      <c r="K3" s="95"/>
      <c r="L3" s="58"/>
      <c r="M3" s="58"/>
      <c r="N3" s="92"/>
      <c r="O3" s="93"/>
      <c r="Q3" s="90"/>
      <c r="R3" s="90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301"/>
    </row>
    <row r="4" spans="1:34" ht="6" customHeight="1" thickBot="1">
      <c r="B4" s="579"/>
      <c r="C4" s="580"/>
      <c r="D4" s="580"/>
      <c r="E4" s="580"/>
      <c r="F4" s="580"/>
      <c r="G4" s="580"/>
      <c r="H4" s="580"/>
      <c r="I4" s="580"/>
      <c r="J4" s="581"/>
      <c r="K4" s="95"/>
      <c r="L4" s="58"/>
      <c r="M4" s="58"/>
      <c r="N4" s="93"/>
      <c r="O4" s="93"/>
      <c r="P4" s="58"/>
      <c r="Q4" s="59"/>
      <c r="R4" s="59"/>
    </row>
    <row r="5" spans="1:34" ht="15" customHeight="1">
      <c r="B5" s="582" t="s">
        <v>283</v>
      </c>
      <c r="C5" s="583"/>
      <c r="D5" s="583"/>
      <c r="E5" s="583"/>
      <c r="F5" s="583" t="s">
        <v>27</v>
      </c>
      <c r="G5" s="583"/>
      <c r="H5" s="583"/>
      <c r="I5" s="583"/>
      <c r="J5" s="589"/>
      <c r="K5" s="584" t="s">
        <v>142</v>
      </c>
      <c r="L5" s="585"/>
      <c r="M5" s="585"/>
      <c r="N5" s="585" t="s">
        <v>365</v>
      </c>
      <c r="O5" s="585"/>
      <c r="P5" s="588"/>
      <c r="Q5" s="345" t="s">
        <v>143</v>
      </c>
      <c r="R5" s="92"/>
    </row>
    <row r="6" spans="1:34" ht="17" customHeight="1" thickBot="1">
      <c r="B6" s="592" t="str">
        <f>IF(Start!$D$4="","Dr. Max Mustermann",Start!$D$4)</f>
        <v>Dr. Max Mustermann</v>
      </c>
      <c r="C6" s="593"/>
      <c r="D6" s="593"/>
      <c r="E6" s="593"/>
      <c r="F6" s="593" t="str">
        <f>Start!$D$8</f>
        <v>Ärztin/Arzt in Ausbildung_BSO1994</v>
      </c>
      <c r="G6" s="593"/>
      <c r="H6" s="593"/>
      <c r="I6" s="593"/>
      <c r="J6" s="594"/>
      <c r="K6" s="590">
        <f>IF(SUM(N14:O44,L13:L44,AA51:AD51,AA52:AB52)=0,Datenblatt!J107,SUM(N14:O44,L13:L44,AA51:AD51,AA52:AB52,AH51:AH52))</f>
        <v>211.20000000000002</v>
      </c>
      <c r="L6" s="591"/>
      <c r="M6" s="591"/>
      <c r="N6" s="586">
        <f>COUNTIF(D14:E44,"ND")+COUNTIF(D14:E44,"ND12,5")</f>
        <v>0</v>
      </c>
      <c r="O6" s="586"/>
      <c r="P6" s="587"/>
      <c r="Q6" s="346">
        <f>IF(OR(Start!$D$10="",Start!$E$10=""),"",IF(Start!$D$8=Gehalt!$K$32,VLOOKUP($H$8,Gehalt!$A$4:$I$22,3,FALSE),IF(Start!$D$8=Gehalt!$K$33,VLOOKUP($H$8,Gehalt!$A$4:$I$22,4,FALSE),IF(Start!$D$8=Gehalt!$K$34,VLOOKUP($H$8,Gehalt!$A$4:$I$22,5,FALSE),IF(Start!$D$8=Gehalt!$K$35,VLOOKUP($H$8,Gehalt!$A$4:$I$22,6,FALSE),IF(Start!$D$8=Gehalt!$K$36,VLOOKUP($H$8,Gehalt!$A$4:$I$22,7,FALSE),IF(Start!$D$8=Gehalt!$K$37,VLOOKUP($H$8,Gehalt!$A$4:$I$22,6,FALSE),IF(Start!$D$8=Gehalt!$K$38,VLOOKUP($H$8,Gehalt!$A$4:$I$22,8,FALSE),IF(Start!$D$8=Gehalt!$K$39,VLOOKUP($H$8,Gehalt!$A$4:$I$22,8,FALSE),IF(Start!$D$8=Gehalt!$K$40,VLOOKUP($H$8,Gehalt!$A$4:$I$22,9,FALSE),IF(Start!$D$8=Gehalt!$K$41,VLOOKUP($H$8,Gehalt!$A$4:$I$22,9,FALSE))))))))))))</f>
        <v>5365.31</v>
      </c>
      <c r="R6" s="92"/>
      <c r="S6" s="92"/>
    </row>
    <row r="7" spans="1:34" ht="15" customHeight="1">
      <c r="B7" s="582" t="s">
        <v>26</v>
      </c>
      <c r="C7" s="583"/>
      <c r="D7" s="108" t="s">
        <v>25</v>
      </c>
      <c r="E7" s="583" t="s">
        <v>43</v>
      </c>
      <c r="F7" s="583"/>
      <c r="G7" s="583"/>
      <c r="H7" s="583" t="s">
        <v>91</v>
      </c>
      <c r="I7" s="583"/>
      <c r="J7" s="589"/>
      <c r="K7" s="584" t="s">
        <v>80</v>
      </c>
      <c r="L7" s="585"/>
      <c r="M7" s="585"/>
      <c r="N7" s="585" t="s">
        <v>81</v>
      </c>
      <c r="O7" s="585"/>
      <c r="P7" s="588"/>
      <c r="Q7" s="345" t="s">
        <v>144</v>
      </c>
      <c r="R7" s="191"/>
      <c r="S7" s="101"/>
      <c r="U7" s="242"/>
      <c r="AA7" s="242"/>
    </row>
    <row r="8" spans="1:34" s="59" customFormat="1" ht="17" customHeight="1" thickBot="1">
      <c r="A8" s="471"/>
      <c r="B8" s="595">
        <f>DATE($D$8,8,1)</f>
        <v>45505</v>
      </c>
      <c r="C8" s="596"/>
      <c r="D8" s="349">
        <f>Start!$D$2</f>
        <v>2024</v>
      </c>
      <c r="E8" s="601">
        <f>($K$6)/((VLOOKUP($B$8,Datenblatt!$A$100:$G$112,7,FALSE)*0.2)-(0.2*$D$59))</f>
        <v>48</v>
      </c>
      <c r="F8" s="601"/>
      <c r="G8" s="601"/>
      <c r="H8" s="602">
        <f>IF(OR(Start!$D$10="",Start!$E$10=""),"",IF(($C$14&lt;Start!$D$10),Start!$E$10,VLOOKUP(Start!$E$10,Gehalt!$A$4:$B$22,2,FALSE)))</f>
        <v>4</v>
      </c>
      <c r="I8" s="602"/>
      <c r="J8" s="603"/>
      <c r="K8" s="597">
        <f>SUM(M13:M44)</f>
        <v>0</v>
      </c>
      <c r="L8" s="598"/>
      <c r="M8" s="598"/>
      <c r="N8" s="591">
        <f>VLOOKUP($B$8,Datenblatt!A100:F112,6,FALSE)</f>
        <v>168</v>
      </c>
      <c r="O8" s="591"/>
      <c r="P8" s="599"/>
      <c r="Q8" s="346">
        <f ca="1">IF($L$50="","",SUM($L$50:$L$59))</f>
        <v>5365.31</v>
      </c>
      <c r="R8" s="100"/>
      <c r="S8" s="101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302"/>
    </row>
    <row r="9" spans="1:34" s="60" customFormat="1" ht="4.25" customHeight="1">
      <c r="A9" s="473"/>
      <c r="B9" s="559" t="s">
        <v>116</v>
      </c>
      <c r="C9" s="560"/>
      <c r="D9" s="565" t="s">
        <v>124</v>
      </c>
      <c r="E9" s="565" t="s">
        <v>174</v>
      </c>
      <c r="F9" s="568" t="s">
        <v>79</v>
      </c>
      <c r="G9" s="569"/>
      <c r="H9" s="568" t="s">
        <v>109</v>
      </c>
      <c r="I9" s="569"/>
      <c r="J9" s="565" t="s">
        <v>117</v>
      </c>
      <c r="K9" s="556" t="s">
        <v>82</v>
      </c>
      <c r="L9" s="556" t="s">
        <v>130</v>
      </c>
      <c r="M9" s="556" t="s">
        <v>114</v>
      </c>
      <c r="N9" s="556" t="s">
        <v>79</v>
      </c>
      <c r="O9" s="556" t="s">
        <v>109</v>
      </c>
      <c r="P9" s="553" t="s">
        <v>134</v>
      </c>
      <c r="Q9" s="535" t="s">
        <v>125</v>
      </c>
      <c r="R9" s="537" t="s">
        <v>173</v>
      </c>
      <c r="S9" s="573" t="s">
        <v>165</v>
      </c>
      <c r="T9" s="233"/>
      <c r="U9" s="234"/>
      <c r="V9" s="234"/>
      <c r="W9" s="234"/>
      <c r="X9" s="234"/>
      <c r="Y9" s="234"/>
      <c r="Z9" s="233"/>
      <c r="AA9" s="234"/>
      <c r="AB9" s="234"/>
      <c r="AC9" s="234"/>
      <c r="AD9" s="234"/>
      <c r="AE9" s="234"/>
      <c r="AF9" s="234"/>
      <c r="AG9" s="234"/>
      <c r="AH9" s="301"/>
    </row>
    <row r="10" spans="1:34" ht="14.5" customHeight="1">
      <c r="B10" s="561"/>
      <c r="C10" s="562"/>
      <c r="D10" s="566"/>
      <c r="E10" s="566"/>
      <c r="F10" s="570"/>
      <c r="G10" s="571"/>
      <c r="H10" s="570"/>
      <c r="I10" s="571"/>
      <c r="J10" s="566"/>
      <c r="K10" s="557"/>
      <c r="L10" s="557"/>
      <c r="M10" s="557"/>
      <c r="N10" s="557"/>
      <c r="O10" s="557"/>
      <c r="P10" s="554"/>
      <c r="Q10" s="535"/>
      <c r="R10" s="535"/>
      <c r="S10" s="574"/>
      <c r="T10" s="233"/>
      <c r="U10" s="572" t="s">
        <v>108</v>
      </c>
      <c r="V10" s="572"/>
      <c r="W10" s="572"/>
      <c r="X10" s="572"/>
      <c r="Y10" s="572"/>
      <c r="Z10" s="249"/>
      <c r="AA10" s="572" t="s">
        <v>168</v>
      </c>
      <c r="AB10" s="572"/>
      <c r="AC10" s="572"/>
      <c r="AD10" s="572"/>
      <c r="AE10" s="572"/>
      <c r="AF10" s="552" t="s">
        <v>232</v>
      </c>
      <c r="AG10" s="552" t="s">
        <v>233</v>
      </c>
    </row>
    <row r="11" spans="1:34" ht="13" customHeight="1" thickBot="1">
      <c r="B11" s="563"/>
      <c r="C11" s="564"/>
      <c r="D11" s="567"/>
      <c r="E11" s="567"/>
      <c r="F11" s="97" t="s">
        <v>14</v>
      </c>
      <c r="G11" s="98" t="s">
        <v>15</v>
      </c>
      <c r="H11" s="97" t="s">
        <v>14</v>
      </c>
      <c r="I11" s="98" t="s">
        <v>15</v>
      </c>
      <c r="J11" s="567"/>
      <c r="K11" s="558"/>
      <c r="L11" s="558"/>
      <c r="M11" s="558"/>
      <c r="N11" s="558"/>
      <c r="O11" s="558"/>
      <c r="P11" s="555"/>
      <c r="Q11" s="536"/>
      <c r="R11" s="536"/>
      <c r="S11" s="575"/>
      <c r="T11" s="109"/>
      <c r="U11" s="245" t="s">
        <v>105</v>
      </c>
      <c r="V11" s="246" t="s">
        <v>106</v>
      </c>
      <c r="W11" s="247" t="s">
        <v>107</v>
      </c>
      <c r="X11" s="246" t="s">
        <v>176</v>
      </c>
      <c r="Y11" s="246" t="s">
        <v>175</v>
      </c>
      <c r="Z11" s="248"/>
      <c r="AA11" s="245" t="s">
        <v>105</v>
      </c>
      <c r="AB11" s="246" t="s">
        <v>106</v>
      </c>
      <c r="AC11" s="246" t="s">
        <v>176</v>
      </c>
      <c r="AD11" s="246" t="s">
        <v>175</v>
      </c>
      <c r="AE11" s="245" t="s">
        <v>229</v>
      </c>
      <c r="AF11" s="552"/>
      <c r="AG11" s="552"/>
      <c r="AH11" s="246" t="s">
        <v>262</v>
      </c>
    </row>
    <row r="12" spans="1:34" ht="0.25" customHeight="1">
      <c r="B12" s="61"/>
      <c r="C12" s="61"/>
      <c r="D12" s="62"/>
      <c r="E12" s="65"/>
      <c r="F12" s="63"/>
      <c r="G12" s="63"/>
      <c r="H12" s="63"/>
      <c r="I12" s="63"/>
      <c r="J12" s="64"/>
      <c r="K12" s="64"/>
      <c r="L12" s="65"/>
      <c r="M12" s="65"/>
      <c r="N12" s="65"/>
      <c r="O12" s="65"/>
      <c r="P12" s="65"/>
      <c r="S12" s="96"/>
      <c r="T12" s="235"/>
      <c r="U12" s="236"/>
      <c r="V12" s="236"/>
      <c r="Z12" s="236"/>
      <c r="AA12" s="236"/>
      <c r="AB12" s="236"/>
      <c r="AH12" s="303"/>
    </row>
    <row r="13" spans="1:34" ht="13" customHeight="1">
      <c r="A13" s="89" t="str">
        <f>IF(ISERROR(VLOOKUP(C13,Datenblatt!$B$84:$B$97,1,FALSE)),"","Ft")</f>
        <v/>
      </c>
      <c r="B13" s="397">
        <f t="shared" ref="B13:B44" si="0">C13</f>
        <v>45504</v>
      </c>
      <c r="C13" s="149">
        <f>C14-1</f>
        <v>45504</v>
      </c>
      <c r="D13" s="153" t="str">
        <f>IF(Juli!D$44="","",Juli!D$44)</f>
        <v/>
      </c>
      <c r="E13" s="150" t="str">
        <f>IF(Juli!E$44="","",Juli!E$44)</f>
        <v/>
      </c>
      <c r="F13" s="150"/>
      <c r="G13" s="150"/>
      <c r="H13" s="150"/>
      <c r="I13" s="150"/>
      <c r="J13" s="252"/>
      <c r="K13" s="252"/>
      <c r="L13" s="170" t="str">
        <f>IF(D13="ND",9,IF(D13="ND12,5",8.5,""))</f>
        <v/>
      </c>
      <c r="M13" s="170" t="str">
        <f>IF(D13="ND",9,IF(D13="ND12,5",8.5,""))</f>
        <v/>
      </c>
      <c r="N13" s="600" t="str">
        <f>IF(OR(D13="ND",D13="ND12,5"),"Übertrag Vormonat","")</f>
        <v/>
      </c>
      <c r="O13" s="600"/>
      <c r="P13" s="193"/>
      <c r="Q13" s="174"/>
      <c r="R13" s="151"/>
      <c r="S13" s="152"/>
      <c r="T13" s="205"/>
      <c r="U13" s="206"/>
      <c r="V13" s="207"/>
      <c r="W13" s="207"/>
      <c r="X13" s="253"/>
      <c r="Y13" s="253"/>
      <c r="Z13" s="111" t="str">
        <f t="shared" ref="Z13" si="1">IF(E13="ND",25,IF(E13="ND12,5",12.5,""))</f>
        <v/>
      </c>
      <c r="AA13" s="206"/>
      <c r="AB13" s="208"/>
      <c r="AC13" s="208"/>
      <c r="AD13" s="232"/>
      <c r="AE13" s="208"/>
      <c r="AF13" s="112"/>
      <c r="AG13" s="112"/>
      <c r="AH13" s="304"/>
    </row>
    <row r="14" spans="1:34" ht="13" customHeight="1">
      <c r="A14" s="89" t="str">
        <f>IF(ISERROR(VLOOKUP(C14,Datenblatt!$B$84:$B$97,1,FALSE)),"","Ft")</f>
        <v/>
      </c>
      <c r="B14" s="84">
        <f t="shared" si="0"/>
        <v>45505</v>
      </c>
      <c r="C14" s="85">
        <f>DATE($D$8,MONTH(B$8),1)</f>
        <v>45505</v>
      </c>
      <c r="D14" s="67"/>
      <c r="E14" s="67"/>
      <c r="F14" s="68"/>
      <c r="G14" s="69"/>
      <c r="H14" s="68"/>
      <c r="I14" s="68"/>
      <c r="J14" s="99"/>
      <c r="K14" s="21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20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10" t="str">
        <f>IF(D14="","",IF(E13="ND",VLOOKUP(D14,Datenblatt!$A$2:$C$31,3,FALSE)-1,IF(E13="ND12,5",VLOOKUP(D14,Datenblatt!$A$2:$C$31,3,FALSE)-0.5,VLOOKUP(D14,Datenblatt!$A$2:$C$31,3,FALSE))))</f>
        <v/>
      </c>
      <c r="N14" s="211" t="str">
        <f t="shared" ref="N14:N44" si="2">IF(AND(F14="",G14=""),"",IF(OR(F14&gt;G14,AND(F14="",G14&gt;0),F14=G14),"ungültig",IF(OR(WEEKDAY(B14,2)=7,A14="Ft"),0,(G14-F14)*24)))</f>
        <v/>
      </c>
      <c r="O14" s="211" t="str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86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103" t="str">
        <f>IF(D14="","",VLOOKUP(D14,Datenblatt!$A$2:$D$31,4,FALSE))</f>
        <v/>
      </c>
      <c r="R14" s="104" t="str">
        <f>IF(E14="","",VLOOKUP(E14,Datenblatt!$E$2:$G$28,2,FALSE))</f>
        <v/>
      </c>
      <c r="S14" s="105"/>
      <c r="T14" s="111">
        <f>IF(K14="",0,K14)</f>
        <v>0</v>
      </c>
      <c r="U14" s="110"/>
      <c r="V14" s="112"/>
      <c r="W14" s="113"/>
      <c r="X14" s="254"/>
      <c r="Y14" s="254"/>
      <c r="Z14" s="111" t="str">
        <f>IF(E14="ND",25,IF(E14="ND12,5",12.5,""))</f>
        <v/>
      </c>
      <c r="AA14" s="214">
        <f>IF(E13="ND",IF(ISERROR(MATCH(D14,Datenblatt!$L$2:$L$18,0)),3,2),IF(E13="ND12,5",IF(ISERROR(MATCH(D14,Datenblatt!$L$2:$L$18,0)),2.5,2),0))</f>
        <v>0</v>
      </c>
      <c r="AB14" s="214">
        <f>IF((IF(E14="ND",14-IF(D14="",0,VLOOKUP(D14,Datenblatt!$L$2:$M$30,2,FALSE)),IF(E14="ND12,5",2,0)))&lt;0,0,(IF(E14="ND",14-IF(D14="",0,VLOOKUP(D14,Datenblatt!$L$2:$M$30,2,FALSE)),IF(E14="ND12,5",2,0))))</f>
        <v>0</v>
      </c>
      <c r="AC14" s="214">
        <f>IF(OR(E14="ND",E14="ND12,5"),2,0)</f>
        <v>0</v>
      </c>
      <c r="AD14" s="214">
        <f>IF(OR(E13="ND",E13="ND12,5"),6,0)</f>
        <v>0</v>
      </c>
      <c r="AE14" s="214">
        <f>IF(AND(E13="ND",AA14&gt;=2),1,IF(AND(E13="ND12,5",AA14&gt;=2),0.5,0))</f>
        <v>0</v>
      </c>
      <c r="AF14" s="112">
        <f>IF(OR(D14="ND",D14="ND12,5"),2-X14,0)</f>
        <v>0</v>
      </c>
      <c r="AG14" s="112">
        <f>IF(OR(D13="ND",D13="ND12,5"),6-Y14,0)</f>
        <v>0</v>
      </c>
      <c r="AH14" s="112">
        <f>IF(E14="",0,VLOOKUP(E14,Datenblatt!$E$2:$G$28,3,FALSE))</f>
        <v>0</v>
      </c>
    </row>
    <row r="15" spans="1:34" ht="13" customHeight="1">
      <c r="A15" s="89" t="str">
        <f>IF(ISERROR(VLOOKUP(C15,Datenblatt!$B$84:$B$97,1,FALSE)),"","Ft")</f>
        <v/>
      </c>
      <c r="B15" s="84">
        <f t="shared" si="0"/>
        <v>45506</v>
      </c>
      <c r="C15" s="86">
        <f t="shared" ref="C15:C41" si="4">C14+1</f>
        <v>45506</v>
      </c>
      <c r="D15" s="67"/>
      <c r="E15" s="67"/>
      <c r="F15" s="68"/>
      <c r="G15" s="69"/>
      <c r="H15" s="68"/>
      <c r="I15" s="68"/>
      <c r="J15" s="99"/>
      <c r="K15" s="21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20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10" t="str">
        <f>IF(D15="","",IF(E14="ND",VLOOKUP(D15,Datenblatt!$A$2:$C$31,3,FALSE)-1,IF(E14="ND12,5",VLOOKUP(D15,Datenblatt!$A$2:$C$31,3,FALSE)-0.5,VLOOKUP(D15,Datenblatt!$A$2:$C$31,3,FALSE))))</f>
        <v/>
      </c>
      <c r="N15" s="211" t="str">
        <f t="shared" si="2"/>
        <v/>
      </c>
      <c r="O15" s="211" t="str">
        <f t="shared" si="3"/>
        <v/>
      </c>
      <c r="P15" s="186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103" t="str">
        <f>IF(D15="","",VLOOKUP(D15,Datenblatt!$A$2:$D$31,4,FALSE))</f>
        <v/>
      </c>
      <c r="R15" s="104" t="str">
        <f>IF(E15="","",VLOOKUP(E15,Datenblatt!$E$2:$G$28,2,FALSE))</f>
        <v/>
      </c>
      <c r="S15" s="105"/>
      <c r="T15" s="111">
        <f t="shared" ref="T15:T44" si="5">IF(K15="",0,K15)</f>
        <v>0</v>
      </c>
      <c r="U15" s="114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12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12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54">
        <f t="array" ref="X15">IF(T15=0,0,IF((AND((ROW(T15)=MATCH(TRUE,($T$1:$T$44)&gt;0,0)))),IF(W15&gt;=6,W15-6,0),IF(W15&gt;=2,2,W15)))</f>
        <v>0</v>
      </c>
      <c r="Y15" s="254">
        <f t="array" ref="Y15">IF(T14=0,0,(IF((AND((ROW(T14)=MATCH(TRUE,($T$1:$T$44)&gt;0,0)))),IF(W14&gt;=6,6,W14),IF(W14&gt;=2,W14-2,0))))</f>
        <v>0</v>
      </c>
      <c r="Z15" s="111" t="str">
        <f t="shared" ref="Z15:Z44" si="6">IF(E15="ND",25,IF(E15="ND12,5",12.5,""))</f>
        <v/>
      </c>
      <c r="AA15" s="214">
        <f>IF(E14="ND",IF(ISERROR(MATCH(D15,Datenblatt!$L$2:$L$18,0)),3,2),IF(E14="ND12,5",IF(ISERROR(MATCH(D15,Datenblatt!$L$2:$L$18,0)),2.5,2),0))</f>
        <v>0</v>
      </c>
      <c r="AB15" s="214">
        <f>IF((IF(E15="ND",14-IF(D15="",0,VLOOKUP(D15,Datenblatt!$L$2:$M$30,2,FALSE)),IF(E15="ND12,5",2,0)))&lt;0,0,(IF(E15="ND",14-IF(D15="",0,VLOOKUP(D15,Datenblatt!$L$2:$M$30,2,FALSE)),IF(E15="ND12,5",2,0))))</f>
        <v>0</v>
      </c>
      <c r="AC15" s="214">
        <f t="shared" ref="AC15:AC44" si="7">IF(OR(E15="ND",E15="ND12,5"),2,0)</f>
        <v>0</v>
      </c>
      <c r="AD15" s="214">
        <f t="shared" ref="AD15:AD44" si="8">IF(OR(E14="ND",E14="ND12,5"),6,0)</f>
        <v>0</v>
      </c>
      <c r="AE15" s="214">
        <f t="shared" ref="AE15:AE44" si="9">IF(AND(E14="ND",AA15&gt;=2),1,IF(AND(E14="ND12,5",AA15&gt;=2),0.5,0))</f>
        <v>0</v>
      </c>
      <c r="AF15" s="112">
        <f t="shared" ref="AF15:AF44" si="10">IF(OR(D15="ND",D15="ND12,5"),2-X15,0)</f>
        <v>0</v>
      </c>
      <c r="AG15" s="112">
        <f t="shared" ref="AG15:AG44" si="11">IF(OR(D14="ND",D14="ND12,5"),6-Y15,0)</f>
        <v>0</v>
      </c>
      <c r="AH15" s="112">
        <f>IF(E15="",0,VLOOKUP(E15,Datenblatt!$E$2:$G$28,3,FALSE))</f>
        <v>0</v>
      </c>
    </row>
    <row r="16" spans="1:34" ht="13" customHeight="1">
      <c r="A16" s="89" t="str">
        <f>IF(ISERROR(VLOOKUP(C16,Datenblatt!$B$84:$B$97,1,FALSE)),"","Ft")</f>
        <v/>
      </c>
      <c r="B16" s="84">
        <f t="shared" si="0"/>
        <v>45507</v>
      </c>
      <c r="C16" s="86">
        <f t="shared" si="4"/>
        <v>45507</v>
      </c>
      <c r="D16" s="67"/>
      <c r="E16" s="67"/>
      <c r="F16" s="68"/>
      <c r="G16" s="69"/>
      <c r="H16" s="68"/>
      <c r="I16" s="68"/>
      <c r="J16" s="99"/>
      <c r="K16" s="21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20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10" t="str">
        <f>IF(D16="","",IF(E15="ND",VLOOKUP(D16,Datenblatt!$A$2:$C$31,3,FALSE)-1,IF(E15="ND12,5",VLOOKUP(D16,Datenblatt!$A$2:$C$31,3,FALSE)-0.5,VLOOKUP(D16,Datenblatt!$A$2:$C$31,3,FALSE))))</f>
        <v/>
      </c>
      <c r="N16" s="211" t="str">
        <f t="shared" si="2"/>
        <v/>
      </c>
      <c r="O16" s="211" t="str">
        <f t="shared" si="3"/>
        <v/>
      </c>
      <c r="P16" s="186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103" t="str">
        <f>IF(D16="","",VLOOKUP(D16,Datenblatt!$A$2:$D$31,4,FALSE))</f>
        <v/>
      </c>
      <c r="R16" s="104" t="str">
        <f>IF(E16="","",VLOOKUP(E16,Datenblatt!$E$2:$G$28,2,FALSE))</f>
        <v/>
      </c>
      <c r="S16" s="105"/>
      <c r="T16" s="111">
        <f t="shared" si="5"/>
        <v>0</v>
      </c>
      <c r="U16" s="114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12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12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54">
        <f t="array" ref="X16">IF(T16=0,0,IF((AND((ROW(T16)=MATCH(TRUE,($T$1:$T$44)&gt;0,0)))),IF(W16&gt;=6,W16-6,0),IF(W16&gt;=2,2,W16)))</f>
        <v>0</v>
      </c>
      <c r="Y16" s="254">
        <f t="array" ref="Y16">IF(T15=0,0,(IF((AND((ROW(T15)=MATCH(TRUE,($T$1:$T$44)&gt;0,0)))),IF(W15&gt;=6,6,W15),IF(W15&gt;=2,W15-2,0))))</f>
        <v>0</v>
      </c>
      <c r="Z16" s="111" t="str">
        <f t="shared" si="6"/>
        <v/>
      </c>
      <c r="AA16" s="214">
        <f>IF(E15="ND",IF(ISERROR(MATCH(D16,Datenblatt!$L$2:$L$18,0)),3,2),IF(E15="ND12,5",IF(ISERROR(MATCH(D16,Datenblatt!$L$2:$L$18,0)),2.5,2),0))</f>
        <v>0</v>
      </c>
      <c r="AB16" s="214">
        <f>IF((IF(E16="ND",14-IF(D16="",0,VLOOKUP(D16,Datenblatt!$L$2:$M$30,2,FALSE)),IF(E16="ND12,5",2,0)))&lt;0,0,(IF(E16="ND",14-IF(D16="",0,VLOOKUP(D16,Datenblatt!$L$2:$M$30,2,FALSE)),IF(E16="ND12,5",2,0))))</f>
        <v>0</v>
      </c>
      <c r="AC16" s="214">
        <f t="shared" si="7"/>
        <v>0</v>
      </c>
      <c r="AD16" s="214">
        <f t="shared" si="8"/>
        <v>0</v>
      </c>
      <c r="AE16" s="214">
        <f t="shared" si="9"/>
        <v>0</v>
      </c>
      <c r="AF16" s="112">
        <f t="shared" si="10"/>
        <v>0</v>
      </c>
      <c r="AG16" s="112">
        <f t="shared" si="11"/>
        <v>0</v>
      </c>
      <c r="AH16" s="112">
        <f>IF(E16="",0,VLOOKUP(E16,Datenblatt!$E$2:$G$28,3,FALSE))</f>
        <v>0</v>
      </c>
    </row>
    <row r="17" spans="1:34" ht="13" customHeight="1">
      <c r="A17" s="89" t="str">
        <f>IF(ISERROR(VLOOKUP(C17,Datenblatt!$B$84:$B$97,1,FALSE)),"","Ft")</f>
        <v/>
      </c>
      <c r="B17" s="84">
        <f t="shared" si="0"/>
        <v>45508</v>
      </c>
      <c r="C17" s="86">
        <f t="shared" si="4"/>
        <v>45508</v>
      </c>
      <c r="D17" s="67"/>
      <c r="E17" s="67"/>
      <c r="F17" s="68"/>
      <c r="G17" s="69"/>
      <c r="H17" s="68"/>
      <c r="I17" s="68"/>
      <c r="J17" s="99"/>
      <c r="K17" s="21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20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10" t="str">
        <f>IF(D17="","",IF(E16="ND",VLOOKUP(D17,Datenblatt!$A$2:$C$31,3,FALSE)-1,IF(E16="ND12,5",VLOOKUP(D17,Datenblatt!$A$2:$C$31,3,FALSE)-0.5,VLOOKUP(D17,Datenblatt!$A$2:$C$31,3,FALSE))))</f>
        <v/>
      </c>
      <c r="N17" s="211" t="str">
        <f t="shared" si="2"/>
        <v/>
      </c>
      <c r="O17" s="211">
        <f t="shared" si="3"/>
        <v>0</v>
      </c>
      <c r="P17" s="186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103" t="str">
        <f>IF(D17="","",VLOOKUP(D17,Datenblatt!$A$2:$D$31,4,FALSE))</f>
        <v/>
      </c>
      <c r="R17" s="104" t="str">
        <f>IF(E17="","",VLOOKUP(E17,Datenblatt!$E$2:$G$28,2,FALSE))</f>
        <v/>
      </c>
      <c r="S17" s="105"/>
      <c r="T17" s="111">
        <f t="shared" si="5"/>
        <v>0</v>
      </c>
      <c r="U17" s="114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12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12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54">
        <f t="array" ref="X17">IF(T17=0,0,IF((AND((ROW(T17)=MATCH(TRUE,($T$1:$T$44)&gt;0,0)))),IF(W17&gt;=6,W17-6,0),IF(W17&gt;=2,2,W17)))</f>
        <v>0</v>
      </c>
      <c r="Y17" s="254">
        <f t="array" ref="Y17">IF(T16=0,0,(IF((AND((ROW(T16)=MATCH(TRUE,($T$1:$T$44)&gt;0,0)))),IF(W16&gt;=6,6,W16),IF(W16&gt;=2,W16-2,0))))</f>
        <v>0</v>
      </c>
      <c r="Z17" s="111" t="str">
        <f t="shared" si="6"/>
        <v/>
      </c>
      <c r="AA17" s="214">
        <f>IF(E16="ND",IF(ISERROR(MATCH(D17,Datenblatt!$L$2:$L$18,0)),3,2),IF(E16="ND12,5",IF(ISERROR(MATCH(D17,Datenblatt!$L$2:$L$18,0)),2.5,2),0))</f>
        <v>0</v>
      </c>
      <c r="AB17" s="214">
        <f>IF((IF(E17="ND",14-IF(D17="",0,VLOOKUP(D17,Datenblatt!$L$2:$M$30,2,FALSE)),IF(E17="ND12,5",2,0)))&lt;0,0,(IF(E17="ND",14-IF(D17="",0,VLOOKUP(D17,Datenblatt!$L$2:$M$30,2,FALSE)),IF(E17="ND12,5",2,0))))</f>
        <v>0</v>
      </c>
      <c r="AC17" s="214">
        <f t="shared" si="7"/>
        <v>0</v>
      </c>
      <c r="AD17" s="214">
        <f t="shared" si="8"/>
        <v>0</v>
      </c>
      <c r="AE17" s="214">
        <f t="shared" si="9"/>
        <v>0</v>
      </c>
      <c r="AF17" s="112">
        <f t="shared" si="10"/>
        <v>0</v>
      </c>
      <c r="AG17" s="112">
        <f t="shared" si="11"/>
        <v>0</v>
      </c>
      <c r="AH17" s="112">
        <f>IF(E17="",0,VLOOKUP(E17,Datenblatt!$E$2:$G$28,3,FALSE))</f>
        <v>0</v>
      </c>
    </row>
    <row r="18" spans="1:34" ht="13" customHeight="1">
      <c r="A18" s="89" t="str">
        <f>IF(ISERROR(VLOOKUP(C18,Datenblatt!$B$84:$B$97,1,FALSE)),"","Ft")</f>
        <v/>
      </c>
      <c r="B18" s="84">
        <f t="shared" si="0"/>
        <v>45509</v>
      </c>
      <c r="C18" s="86">
        <f t="shared" si="4"/>
        <v>45509</v>
      </c>
      <c r="D18" s="67"/>
      <c r="E18" s="67"/>
      <c r="F18" s="68"/>
      <c r="G18" s="69"/>
      <c r="H18" s="68"/>
      <c r="I18" s="68"/>
      <c r="J18" s="99"/>
      <c r="K18" s="21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20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10" t="str">
        <f>IF(D18="","",IF(E17="ND",VLOOKUP(D18,Datenblatt!$A$2:$C$31,3,FALSE)-1,IF(E17="ND12,5",VLOOKUP(D18,Datenblatt!$A$2:$C$31,3,FALSE)-0.5,VLOOKUP(D18,Datenblatt!$A$2:$C$31,3,FALSE))))</f>
        <v/>
      </c>
      <c r="N18" s="211" t="str">
        <f t="shared" si="2"/>
        <v/>
      </c>
      <c r="O18" s="211" t="str">
        <f t="shared" si="3"/>
        <v/>
      </c>
      <c r="P18" s="186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103" t="str">
        <f>IF(D18="","",VLOOKUP(D18,Datenblatt!$A$2:$D$31,4,FALSE))</f>
        <v/>
      </c>
      <c r="R18" s="104" t="str">
        <f>IF(E18="","",VLOOKUP(E18,Datenblatt!$E$2:$G$28,2,FALSE))</f>
        <v/>
      </c>
      <c r="S18" s="105"/>
      <c r="T18" s="111">
        <f t="shared" si="5"/>
        <v>0</v>
      </c>
      <c r="U18" s="114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12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12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54">
        <f t="array" ref="X18">IF(T18=0,0,IF((AND((ROW(T18)=MATCH(TRUE,($T$1:$T$44)&gt;0,0)))),IF(W18&gt;=6,W18-6,0),IF(W18&gt;=2,2,W18)))</f>
        <v>0</v>
      </c>
      <c r="Y18" s="254">
        <f t="array" ref="Y18">IF(T17=0,0,(IF((AND((ROW(T17)=MATCH(TRUE,($T$1:$T$44)&gt;0,0)))),IF(W17&gt;=6,6,W17),IF(W17&gt;=2,W17-2,0))))</f>
        <v>0</v>
      </c>
      <c r="Z18" s="111" t="str">
        <f t="shared" si="6"/>
        <v/>
      </c>
      <c r="AA18" s="214">
        <f>IF(E17="ND",IF(ISERROR(MATCH(D18,Datenblatt!$L$2:$L$18,0)),3,2),IF(E17="ND12,5",IF(ISERROR(MATCH(D18,Datenblatt!$L$2:$L$18,0)),2.5,2),0))</f>
        <v>0</v>
      </c>
      <c r="AB18" s="214">
        <f>IF((IF(E18="ND",14-IF(D18="",0,VLOOKUP(D18,Datenblatt!$L$2:$M$30,2,FALSE)),IF(E18="ND12,5",2,0)))&lt;0,0,(IF(E18="ND",14-IF(D18="",0,VLOOKUP(D18,Datenblatt!$L$2:$M$30,2,FALSE)),IF(E18="ND12,5",2,0))))</f>
        <v>0</v>
      </c>
      <c r="AC18" s="214">
        <f t="shared" si="7"/>
        <v>0</v>
      </c>
      <c r="AD18" s="214">
        <f t="shared" si="8"/>
        <v>0</v>
      </c>
      <c r="AE18" s="214">
        <f t="shared" si="9"/>
        <v>0</v>
      </c>
      <c r="AF18" s="112">
        <f t="shared" si="10"/>
        <v>0</v>
      </c>
      <c r="AG18" s="112">
        <f t="shared" si="11"/>
        <v>0</v>
      </c>
      <c r="AH18" s="112">
        <f>IF(E18="",0,VLOOKUP(E18,Datenblatt!$E$2:$G$28,3,FALSE))</f>
        <v>0</v>
      </c>
    </row>
    <row r="19" spans="1:34" ht="13" customHeight="1">
      <c r="A19" s="89" t="str">
        <f>IF(ISERROR(VLOOKUP(C19,Datenblatt!$B$84:$B$97,1,FALSE)),"","Ft")</f>
        <v/>
      </c>
      <c r="B19" s="84">
        <f t="shared" si="0"/>
        <v>45510</v>
      </c>
      <c r="C19" s="86">
        <f t="shared" si="4"/>
        <v>45510</v>
      </c>
      <c r="D19" s="67"/>
      <c r="E19" s="67"/>
      <c r="F19" s="68"/>
      <c r="G19" s="69"/>
      <c r="H19" s="68"/>
      <c r="I19" s="68"/>
      <c r="J19" s="99"/>
      <c r="K19" s="21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20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10" t="str">
        <f>IF(D19="","",IF(E18="ND",VLOOKUP(D19,Datenblatt!$A$2:$C$31,3,FALSE)-1,IF(E18="ND12,5",VLOOKUP(D19,Datenblatt!$A$2:$C$31,3,FALSE)-0.5,VLOOKUP(D19,Datenblatt!$A$2:$C$31,3,FALSE))))</f>
        <v/>
      </c>
      <c r="N19" s="211" t="str">
        <f t="shared" si="2"/>
        <v/>
      </c>
      <c r="O19" s="211" t="str">
        <f t="shared" si="3"/>
        <v/>
      </c>
      <c r="P19" s="186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103" t="str">
        <f>IF(D19="","",VLOOKUP(D19,Datenblatt!$A$2:$D$31,4,FALSE))</f>
        <v/>
      </c>
      <c r="R19" s="104" t="str">
        <f>IF(E19="","",VLOOKUP(E19,Datenblatt!$E$2:$G$28,2,FALSE))</f>
        <v/>
      </c>
      <c r="S19" s="105"/>
      <c r="T19" s="111">
        <f t="shared" si="5"/>
        <v>0</v>
      </c>
      <c r="U19" s="114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12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12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54">
        <f t="array" ref="X19">IF(T19=0,0,IF((AND((ROW(T19)=MATCH(TRUE,($T$1:$T$44)&gt;0,0)))),IF(W19&gt;=6,W19-6,0),IF(W19&gt;=2,2,W19)))</f>
        <v>0</v>
      </c>
      <c r="Y19" s="254">
        <f t="array" ref="Y19">IF(T18=0,0,(IF((AND((ROW(T18)=MATCH(TRUE,($T$1:$T$44)&gt;0,0)))),IF(W18&gt;=6,6,W18),IF(W18&gt;=2,W18-2,0))))</f>
        <v>0</v>
      </c>
      <c r="Z19" s="111" t="str">
        <f t="shared" si="6"/>
        <v/>
      </c>
      <c r="AA19" s="214">
        <f>IF(E18="ND",IF(ISERROR(MATCH(D19,Datenblatt!$L$2:$L$18,0)),3,2),IF(E18="ND12,5",IF(ISERROR(MATCH(D19,Datenblatt!$L$2:$L$18,0)),2.5,2),0))</f>
        <v>0</v>
      </c>
      <c r="AB19" s="214">
        <f>IF((IF(E19="ND",14-IF(D19="",0,VLOOKUP(D19,Datenblatt!$L$2:$M$30,2,FALSE)),IF(E19="ND12,5",2,0)))&lt;0,0,(IF(E19="ND",14-IF(D19="",0,VLOOKUP(D19,Datenblatt!$L$2:$M$30,2,FALSE)),IF(E19="ND12,5",2,0))))</f>
        <v>0</v>
      </c>
      <c r="AC19" s="214">
        <f t="shared" si="7"/>
        <v>0</v>
      </c>
      <c r="AD19" s="214">
        <f t="shared" si="8"/>
        <v>0</v>
      </c>
      <c r="AE19" s="214">
        <f t="shared" si="9"/>
        <v>0</v>
      </c>
      <c r="AF19" s="112">
        <f t="shared" si="10"/>
        <v>0</v>
      </c>
      <c r="AG19" s="112">
        <f t="shared" si="11"/>
        <v>0</v>
      </c>
      <c r="AH19" s="112">
        <f>IF(E19="",0,VLOOKUP(E19,Datenblatt!$E$2:$G$28,3,FALSE))</f>
        <v>0</v>
      </c>
    </row>
    <row r="20" spans="1:34" ht="13" customHeight="1">
      <c r="A20" s="89" t="str">
        <f>IF(ISERROR(VLOOKUP(C20,Datenblatt!$B$84:$B$97,1,FALSE)),"","Ft")</f>
        <v/>
      </c>
      <c r="B20" s="84">
        <f t="shared" si="0"/>
        <v>45511</v>
      </c>
      <c r="C20" s="86">
        <f t="shared" si="4"/>
        <v>45511</v>
      </c>
      <c r="D20" s="67"/>
      <c r="E20" s="67"/>
      <c r="F20" s="68"/>
      <c r="G20" s="69"/>
      <c r="H20" s="68"/>
      <c r="I20" s="68"/>
      <c r="J20" s="99"/>
      <c r="K20" s="21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20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10" t="str">
        <f>IF(D20="","",IF(E19="ND",VLOOKUP(D20,Datenblatt!$A$2:$C$31,3,FALSE)-1,IF(E19="ND12,5",VLOOKUP(D20,Datenblatt!$A$2:$C$31,3,FALSE)-0.5,VLOOKUP(D20,Datenblatt!$A$2:$C$31,3,FALSE))))</f>
        <v/>
      </c>
      <c r="N20" s="211" t="str">
        <f t="shared" si="2"/>
        <v/>
      </c>
      <c r="O20" s="211" t="str">
        <f t="shared" si="3"/>
        <v/>
      </c>
      <c r="P20" s="186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103" t="str">
        <f>IF(D20="","",VLOOKUP(D20,Datenblatt!$A$2:$D$31,4,FALSE))</f>
        <v/>
      </c>
      <c r="R20" s="104" t="str">
        <f>IF(E20="","",VLOOKUP(E20,Datenblatt!$E$2:$G$28,2,FALSE))</f>
        <v/>
      </c>
      <c r="S20" s="105"/>
      <c r="T20" s="111">
        <f t="shared" si="5"/>
        <v>0</v>
      </c>
      <c r="U20" s="114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12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12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54">
        <f t="array" ref="X20">IF(T20=0,0,IF((AND((ROW(T20)=MATCH(TRUE,($T$1:$T$44)&gt;0,0)))),IF(W20&gt;=6,W20-6,0),IF(W20&gt;=2,2,W20)))</f>
        <v>0</v>
      </c>
      <c r="Y20" s="254">
        <f t="array" ref="Y20">IF(T19=0,0,(IF((AND((ROW(T19)=MATCH(TRUE,($T$1:$T$44)&gt;0,0)))),IF(W19&gt;=6,6,W19),IF(W19&gt;=2,W19-2,0))))</f>
        <v>0</v>
      </c>
      <c r="Z20" s="111" t="str">
        <f t="shared" si="6"/>
        <v/>
      </c>
      <c r="AA20" s="214">
        <f>IF(E19="ND",IF(ISERROR(MATCH(D20,Datenblatt!$L$2:$L$18,0)),3,2),IF(E19="ND12,5",IF(ISERROR(MATCH(D20,Datenblatt!$L$2:$L$18,0)),2.5,2),0))</f>
        <v>0</v>
      </c>
      <c r="AB20" s="214">
        <f>IF((IF(E20="ND",14-IF(D20="",0,VLOOKUP(D20,Datenblatt!$L$2:$M$30,2,FALSE)),IF(E20="ND12,5",2,0)))&lt;0,0,(IF(E20="ND",14-IF(D20="",0,VLOOKUP(D20,Datenblatt!$L$2:$M$30,2,FALSE)),IF(E20="ND12,5",2,0))))</f>
        <v>0</v>
      </c>
      <c r="AC20" s="214">
        <f t="shared" si="7"/>
        <v>0</v>
      </c>
      <c r="AD20" s="214">
        <f t="shared" si="8"/>
        <v>0</v>
      </c>
      <c r="AE20" s="214">
        <f t="shared" si="9"/>
        <v>0</v>
      </c>
      <c r="AF20" s="112">
        <f t="shared" si="10"/>
        <v>0</v>
      </c>
      <c r="AG20" s="112">
        <f t="shared" si="11"/>
        <v>0</v>
      </c>
      <c r="AH20" s="112">
        <f>IF(E20="",0,VLOOKUP(E20,Datenblatt!$E$2:$G$28,3,FALSE))</f>
        <v>0</v>
      </c>
    </row>
    <row r="21" spans="1:34" ht="13" customHeight="1">
      <c r="A21" s="89" t="str">
        <f>IF(ISERROR(VLOOKUP(C21,Datenblatt!$B$84:$B$97,1,FALSE)),"","Ft")</f>
        <v/>
      </c>
      <c r="B21" s="84">
        <f t="shared" si="0"/>
        <v>45512</v>
      </c>
      <c r="C21" s="86">
        <f t="shared" si="4"/>
        <v>45512</v>
      </c>
      <c r="D21" s="67"/>
      <c r="E21" s="67"/>
      <c r="F21" s="68"/>
      <c r="G21" s="69"/>
      <c r="H21" s="68"/>
      <c r="I21" s="68"/>
      <c r="J21" s="99"/>
      <c r="K21" s="21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20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10" t="str">
        <f>IF(D21="","",IF(E20="ND",VLOOKUP(D21,Datenblatt!$A$2:$C$31,3,FALSE)-1,IF(E20="ND12,5",VLOOKUP(D21,Datenblatt!$A$2:$C$31,3,FALSE)-0.5,VLOOKUP(D21,Datenblatt!$A$2:$C$31,3,FALSE))))</f>
        <v/>
      </c>
      <c r="N21" s="211" t="str">
        <f t="shared" si="2"/>
        <v/>
      </c>
      <c r="O21" s="211" t="str">
        <f t="shared" si="3"/>
        <v/>
      </c>
      <c r="P21" s="186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103" t="str">
        <f>IF(D21="","",VLOOKUP(D21,Datenblatt!$A$2:$D$31,4,FALSE))</f>
        <v/>
      </c>
      <c r="R21" s="104" t="str">
        <f>IF(E21="","",VLOOKUP(E21,Datenblatt!$E$2:$G$28,2,FALSE))</f>
        <v/>
      </c>
      <c r="S21" s="105"/>
      <c r="T21" s="111">
        <f t="shared" si="5"/>
        <v>0</v>
      </c>
      <c r="U21" s="114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12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12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54">
        <f t="array" ref="X21">IF(T21=0,0,IF((AND((ROW(T21)=MATCH(TRUE,($T$1:$T$44)&gt;0,0)))),IF(W21&gt;=6,W21-6,0),IF(W21&gt;=2,2,W21)))</f>
        <v>0</v>
      </c>
      <c r="Y21" s="254">
        <f t="array" ref="Y21">IF(T20=0,0,(IF((AND((ROW(T20)=MATCH(TRUE,($T$1:$T$44)&gt;0,0)))),IF(W20&gt;=6,6,W20),IF(W20&gt;=2,W20-2,0))))</f>
        <v>0</v>
      </c>
      <c r="Z21" s="111" t="str">
        <f t="shared" si="6"/>
        <v/>
      </c>
      <c r="AA21" s="214">
        <f>IF(E20="ND",IF(ISERROR(MATCH(D21,Datenblatt!$L$2:$L$18,0)),3,2),IF(E20="ND12,5",IF(ISERROR(MATCH(D21,Datenblatt!$L$2:$L$18,0)),2.5,2),0))</f>
        <v>0</v>
      </c>
      <c r="AB21" s="214">
        <f>IF((IF(E21="ND",14-IF(D21="",0,VLOOKUP(D21,Datenblatt!$L$2:$M$30,2,FALSE)),IF(E21="ND12,5",2,0)))&lt;0,0,(IF(E21="ND",14-IF(D21="",0,VLOOKUP(D21,Datenblatt!$L$2:$M$30,2,FALSE)),IF(E21="ND12,5",2,0))))</f>
        <v>0</v>
      </c>
      <c r="AC21" s="214">
        <f t="shared" si="7"/>
        <v>0</v>
      </c>
      <c r="AD21" s="214">
        <f t="shared" si="8"/>
        <v>0</v>
      </c>
      <c r="AE21" s="214">
        <f t="shared" si="9"/>
        <v>0</v>
      </c>
      <c r="AF21" s="112">
        <f t="shared" si="10"/>
        <v>0</v>
      </c>
      <c r="AG21" s="112">
        <f t="shared" si="11"/>
        <v>0</v>
      </c>
      <c r="AH21" s="112">
        <f>IF(E21="",0,VLOOKUP(E21,Datenblatt!$E$2:$G$28,3,FALSE))</f>
        <v>0</v>
      </c>
    </row>
    <row r="22" spans="1:34" ht="13" customHeight="1">
      <c r="A22" s="89" t="str">
        <f>IF(ISERROR(VLOOKUP(C22,Datenblatt!$B$84:$B$97,1,FALSE)),"","Ft")</f>
        <v/>
      </c>
      <c r="B22" s="84">
        <f t="shared" si="0"/>
        <v>45513</v>
      </c>
      <c r="C22" s="86">
        <f t="shared" si="4"/>
        <v>45513</v>
      </c>
      <c r="D22" s="67"/>
      <c r="E22" s="67"/>
      <c r="F22" s="68"/>
      <c r="G22" s="69"/>
      <c r="H22" s="68"/>
      <c r="I22" s="68"/>
      <c r="J22" s="99"/>
      <c r="K22" s="21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20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10" t="str">
        <f>IF(D22="","",IF(E21="ND",VLOOKUP(D22,Datenblatt!$A$2:$C$31,3,FALSE)-1,IF(E21="ND12,5",VLOOKUP(D22,Datenblatt!$A$2:$C$31,3,FALSE)-0.5,VLOOKUP(D22,Datenblatt!$A$2:$C$31,3,FALSE))))</f>
        <v/>
      </c>
      <c r="N22" s="211" t="str">
        <f t="shared" si="2"/>
        <v/>
      </c>
      <c r="O22" s="211" t="str">
        <f t="shared" si="3"/>
        <v/>
      </c>
      <c r="P22" s="186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103" t="str">
        <f>IF(D22="","",VLOOKUP(D22,Datenblatt!$A$2:$D$31,4,FALSE))</f>
        <v/>
      </c>
      <c r="R22" s="104" t="str">
        <f>IF(E22="","",VLOOKUP(E22,Datenblatt!$E$2:$G$28,2,FALSE))</f>
        <v/>
      </c>
      <c r="S22" s="105"/>
      <c r="T22" s="111">
        <f t="shared" si="5"/>
        <v>0</v>
      </c>
      <c r="U22" s="114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12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12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54">
        <f t="array" ref="X22">IF(T22=0,0,IF((AND((ROW(T22)=MATCH(TRUE,($T$1:$T$44)&gt;0,0)))),IF(W22&gt;=6,W22-6,0),IF(W22&gt;=2,2,W22)))</f>
        <v>0</v>
      </c>
      <c r="Y22" s="254">
        <f t="array" ref="Y22">IF(T21=0,0,(IF((AND((ROW(T21)=MATCH(TRUE,($T$1:$T$44)&gt;0,0)))),IF(W21&gt;=6,6,W21),IF(W21&gt;=2,W21-2,0))))</f>
        <v>0</v>
      </c>
      <c r="Z22" s="111" t="str">
        <f t="shared" si="6"/>
        <v/>
      </c>
      <c r="AA22" s="214">
        <f>IF(E21="ND",IF(ISERROR(MATCH(D22,Datenblatt!$L$2:$L$18,0)),3,2),IF(E21="ND12,5",IF(ISERROR(MATCH(D22,Datenblatt!$L$2:$L$18,0)),2.5,2),0))</f>
        <v>0</v>
      </c>
      <c r="AB22" s="214">
        <f>IF((IF(E22="ND",14-IF(D22="",0,VLOOKUP(D22,Datenblatt!$L$2:$M$30,2,FALSE)),IF(E22="ND12,5",2,0)))&lt;0,0,(IF(E22="ND",14-IF(D22="",0,VLOOKUP(D22,Datenblatt!$L$2:$M$30,2,FALSE)),IF(E22="ND12,5",2,0))))</f>
        <v>0</v>
      </c>
      <c r="AC22" s="214">
        <f t="shared" si="7"/>
        <v>0</v>
      </c>
      <c r="AD22" s="214">
        <f t="shared" si="8"/>
        <v>0</v>
      </c>
      <c r="AE22" s="214">
        <f t="shared" si="9"/>
        <v>0</v>
      </c>
      <c r="AF22" s="112">
        <f t="shared" si="10"/>
        <v>0</v>
      </c>
      <c r="AG22" s="112">
        <f t="shared" si="11"/>
        <v>0</v>
      </c>
      <c r="AH22" s="112">
        <f>IF(E22="",0,VLOOKUP(E22,Datenblatt!$E$2:$G$28,3,FALSE))</f>
        <v>0</v>
      </c>
    </row>
    <row r="23" spans="1:34" ht="13" customHeight="1">
      <c r="A23" s="89" t="str">
        <f>IF(ISERROR(VLOOKUP(C23,Datenblatt!$B$84:$B$97,1,FALSE)),"","Ft")</f>
        <v/>
      </c>
      <c r="B23" s="84">
        <f t="shared" si="0"/>
        <v>45514</v>
      </c>
      <c r="C23" s="86">
        <f t="shared" si="4"/>
        <v>45514</v>
      </c>
      <c r="D23" s="67"/>
      <c r="E23" s="67"/>
      <c r="F23" s="68"/>
      <c r="G23" s="69"/>
      <c r="H23" s="68"/>
      <c r="I23" s="68"/>
      <c r="J23" s="99"/>
      <c r="K23" s="21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20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10" t="str">
        <f>IF(D23="","",IF(E22="ND",VLOOKUP(D23,Datenblatt!$A$2:$C$31,3,FALSE)-1,IF(E22="ND12,5",VLOOKUP(D23,Datenblatt!$A$2:$C$31,3,FALSE)-0.5,VLOOKUP(D23,Datenblatt!$A$2:$C$31,3,FALSE))))</f>
        <v/>
      </c>
      <c r="N23" s="211" t="str">
        <f t="shared" si="2"/>
        <v/>
      </c>
      <c r="O23" s="211" t="str">
        <f t="shared" si="3"/>
        <v/>
      </c>
      <c r="P23" s="186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103" t="str">
        <f>IF(D23="","",VLOOKUP(D23,Datenblatt!$A$2:$D$31,4,FALSE))</f>
        <v/>
      </c>
      <c r="R23" s="104" t="str">
        <f>IF(E23="","",VLOOKUP(E23,Datenblatt!$E$2:$G$28,2,FALSE))</f>
        <v/>
      </c>
      <c r="S23" s="105"/>
      <c r="T23" s="111">
        <f t="shared" si="5"/>
        <v>0</v>
      </c>
      <c r="U23" s="114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12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12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54">
        <f t="array" ref="X23">IF(T23=0,0,IF((AND((ROW(T23)=MATCH(TRUE,($T$1:$T$44)&gt;0,0)))),IF(W23&gt;=6,W23-6,0),IF(W23&gt;=2,2,W23)))</f>
        <v>0</v>
      </c>
      <c r="Y23" s="254">
        <f t="array" ref="Y23">IF(T22=0,0,(IF((AND((ROW(T22)=MATCH(TRUE,($T$1:$T$44)&gt;0,0)))),IF(W22&gt;=6,6,W22),IF(W22&gt;=2,W22-2,0))))</f>
        <v>0</v>
      </c>
      <c r="Z23" s="111" t="str">
        <f t="shared" si="6"/>
        <v/>
      </c>
      <c r="AA23" s="214">
        <f>IF(E22="ND",IF(ISERROR(MATCH(D23,Datenblatt!$L$2:$L$18,0)),3,2),IF(E22="ND12,5",IF(ISERROR(MATCH(D23,Datenblatt!$L$2:$L$18,0)),2.5,2),0))</f>
        <v>0</v>
      </c>
      <c r="AB23" s="214">
        <f>IF((IF(E23="ND",14-IF(D23="",0,VLOOKUP(D23,Datenblatt!$L$2:$M$30,2,FALSE)),IF(E23="ND12,5",2,0)))&lt;0,0,(IF(E23="ND",14-IF(D23="",0,VLOOKUP(D23,Datenblatt!$L$2:$M$30,2,FALSE)),IF(E23="ND12,5",2,0))))</f>
        <v>0</v>
      </c>
      <c r="AC23" s="214">
        <f t="shared" si="7"/>
        <v>0</v>
      </c>
      <c r="AD23" s="214">
        <f t="shared" si="8"/>
        <v>0</v>
      </c>
      <c r="AE23" s="214">
        <f t="shared" si="9"/>
        <v>0</v>
      </c>
      <c r="AF23" s="112">
        <f t="shared" si="10"/>
        <v>0</v>
      </c>
      <c r="AG23" s="112">
        <f t="shared" si="11"/>
        <v>0</v>
      </c>
      <c r="AH23" s="112">
        <f>IF(E23="",0,VLOOKUP(E23,Datenblatt!$E$2:$G$28,3,FALSE))</f>
        <v>0</v>
      </c>
    </row>
    <row r="24" spans="1:34" ht="13" customHeight="1">
      <c r="A24" s="89" t="str">
        <f>IF(ISERROR(VLOOKUP(C24,Datenblatt!$B$84:$B$97,1,FALSE)),"","Ft")</f>
        <v/>
      </c>
      <c r="B24" s="84">
        <f t="shared" si="0"/>
        <v>45515</v>
      </c>
      <c r="C24" s="86">
        <f t="shared" si="4"/>
        <v>45515</v>
      </c>
      <c r="D24" s="67"/>
      <c r="E24" s="67"/>
      <c r="F24" s="68"/>
      <c r="G24" s="69"/>
      <c r="H24" s="68"/>
      <c r="I24" s="68"/>
      <c r="J24" s="99"/>
      <c r="K24" s="21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20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10" t="str">
        <f>IF(D24="","",IF(E23="ND",VLOOKUP(D24,Datenblatt!$A$2:$C$31,3,FALSE)-1,IF(E23="ND12,5",VLOOKUP(D24,Datenblatt!$A$2:$C$31,3,FALSE)-0.5,VLOOKUP(D24,Datenblatt!$A$2:$C$31,3,FALSE))))</f>
        <v/>
      </c>
      <c r="N24" s="211" t="str">
        <f t="shared" si="2"/>
        <v/>
      </c>
      <c r="O24" s="211">
        <f t="shared" si="3"/>
        <v>0</v>
      </c>
      <c r="P24" s="186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103" t="str">
        <f>IF(D24="","",VLOOKUP(D24,Datenblatt!$A$2:$D$31,4,FALSE))</f>
        <v/>
      </c>
      <c r="R24" s="104" t="str">
        <f>IF(E24="","",VLOOKUP(E24,Datenblatt!$E$2:$G$28,2,FALSE))</f>
        <v/>
      </c>
      <c r="S24" s="105"/>
      <c r="T24" s="111">
        <f t="shared" si="5"/>
        <v>0</v>
      </c>
      <c r="U24" s="114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12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12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54">
        <f t="array" ref="X24">IF(T24=0,0,IF((AND((ROW(T24)=MATCH(TRUE,($T$1:$T$44)&gt;0,0)))),IF(W24&gt;=6,W24-6,0),IF(W24&gt;=2,2,W24)))</f>
        <v>0</v>
      </c>
      <c r="Y24" s="254">
        <f t="array" ref="Y24">IF(T23=0,0,(IF((AND((ROW(T23)=MATCH(TRUE,($T$1:$T$44)&gt;0,0)))),IF(W23&gt;=6,6,W23),IF(W23&gt;=2,W23-2,0))))</f>
        <v>0</v>
      </c>
      <c r="Z24" s="111" t="str">
        <f t="shared" si="6"/>
        <v/>
      </c>
      <c r="AA24" s="214">
        <f>IF(E23="ND",IF(ISERROR(MATCH(D24,Datenblatt!$L$2:$L$18,0)),3,2),IF(E23="ND12,5",IF(ISERROR(MATCH(D24,Datenblatt!$L$2:$L$18,0)),2.5,2),0))</f>
        <v>0</v>
      </c>
      <c r="AB24" s="214">
        <f>IF((IF(E24="ND",14-IF(D24="",0,VLOOKUP(D24,Datenblatt!$L$2:$M$30,2,FALSE)),IF(E24="ND12,5",2,0)))&lt;0,0,(IF(E24="ND",14-IF(D24="",0,VLOOKUP(D24,Datenblatt!$L$2:$M$30,2,FALSE)),IF(E24="ND12,5",2,0))))</f>
        <v>0</v>
      </c>
      <c r="AC24" s="214">
        <f t="shared" si="7"/>
        <v>0</v>
      </c>
      <c r="AD24" s="214">
        <f t="shared" si="8"/>
        <v>0</v>
      </c>
      <c r="AE24" s="214">
        <f t="shared" si="9"/>
        <v>0</v>
      </c>
      <c r="AF24" s="112">
        <f t="shared" si="10"/>
        <v>0</v>
      </c>
      <c r="AG24" s="112">
        <f t="shared" si="11"/>
        <v>0</v>
      </c>
      <c r="AH24" s="112">
        <f>IF(E24="",0,VLOOKUP(E24,Datenblatt!$E$2:$G$28,3,FALSE))</f>
        <v>0</v>
      </c>
    </row>
    <row r="25" spans="1:34" ht="13" customHeight="1">
      <c r="A25" s="89" t="str">
        <f>IF(ISERROR(VLOOKUP(C25,Datenblatt!$B$84:$B$97,1,FALSE)),"","Ft")</f>
        <v/>
      </c>
      <c r="B25" s="84">
        <f t="shared" si="0"/>
        <v>45516</v>
      </c>
      <c r="C25" s="86">
        <f t="shared" si="4"/>
        <v>45516</v>
      </c>
      <c r="D25" s="67"/>
      <c r="E25" s="67"/>
      <c r="F25" s="68"/>
      <c r="G25" s="69"/>
      <c r="H25" s="68"/>
      <c r="I25" s="68"/>
      <c r="J25" s="99"/>
      <c r="K25" s="21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20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10" t="str">
        <f>IF(D25="","",IF(E24="ND",VLOOKUP(D25,Datenblatt!$A$2:$C$31,3,FALSE)-1,IF(E24="ND12,5",VLOOKUP(D25,Datenblatt!$A$2:$C$31,3,FALSE)-0.5,VLOOKUP(D25,Datenblatt!$A$2:$C$31,3,FALSE))))</f>
        <v/>
      </c>
      <c r="N25" s="211" t="str">
        <f t="shared" si="2"/>
        <v/>
      </c>
      <c r="O25" s="211" t="str">
        <f t="shared" si="3"/>
        <v/>
      </c>
      <c r="P25" s="186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103" t="str">
        <f>IF(D25="","",VLOOKUP(D25,Datenblatt!$A$2:$D$31,4,FALSE))</f>
        <v/>
      </c>
      <c r="R25" s="104" t="str">
        <f>IF(E25="","",VLOOKUP(E25,Datenblatt!$E$2:$G$28,2,FALSE))</f>
        <v/>
      </c>
      <c r="S25" s="105"/>
      <c r="T25" s="111">
        <f t="shared" si="5"/>
        <v>0</v>
      </c>
      <c r="U25" s="114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12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12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54">
        <f t="array" ref="X25">IF(T25=0,0,IF((AND((ROW(T25)=MATCH(TRUE,($T$1:$T$44)&gt;0,0)))),IF(W25&gt;=6,W25-6,0),IF(W25&gt;=2,2,W25)))</f>
        <v>0</v>
      </c>
      <c r="Y25" s="254">
        <f t="array" ref="Y25">IF(T24=0,0,(IF((AND((ROW(T24)=MATCH(TRUE,($T$1:$T$44)&gt;0,0)))),IF(W24&gt;=6,6,W24),IF(W24&gt;=2,W24-2,0))))</f>
        <v>0</v>
      </c>
      <c r="Z25" s="111" t="str">
        <f t="shared" si="6"/>
        <v/>
      </c>
      <c r="AA25" s="214">
        <f>IF(E24="ND",IF(ISERROR(MATCH(D25,Datenblatt!$L$2:$L$18,0)),3,2),IF(E24="ND12,5",IF(ISERROR(MATCH(D25,Datenblatt!$L$2:$L$18,0)),2.5,2),0))</f>
        <v>0</v>
      </c>
      <c r="AB25" s="214">
        <f>IF((IF(E25="ND",14-IF(D25="",0,VLOOKUP(D25,Datenblatt!$L$2:$M$30,2,FALSE)),IF(E25="ND12,5",2,0)))&lt;0,0,(IF(E25="ND",14-IF(D25="",0,VLOOKUP(D25,Datenblatt!$L$2:$M$30,2,FALSE)),IF(E25="ND12,5",2,0))))</f>
        <v>0</v>
      </c>
      <c r="AC25" s="214">
        <f t="shared" si="7"/>
        <v>0</v>
      </c>
      <c r="AD25" s="214">
        <f t="shared" si="8"/>
        <v>0</v>
      </c>
      <c r="AE25" s="214">
        <f t="shared" si="9"/>
        <v>0</v>
      </c>
      <c r="AF25" s="112">
        <f t="shared" si="10"/>
        <v>0</v>
      </c>
      <c r="AG25" s="112">
        <f t="shared" si="11"/>
        <v>0</v>
      </c>
      <c r="AH25" s="112">
        <f>IF(E25="",0,VLOOKUP(E25,Datenblatt!$E$2:$G$28,3,FALSE))</f>
        <v>0</v>
      </c>
    </row>
    <row r="26" spans="1:34" ht="13" customHeight="1">
      <c r="A26" s="89" t="str">
        <f>IF(ISERROR(VLOOKUP(C26,Datenblatt!$B$84:$B$97,1,FALSE)),"","Ft")</f>
        <v/>
      </c>
      <c r="B26" s="84">
        <f t="shared" si="0"/>
        <v>45517</v>
      </c>
      <c r="C26" s="86">
        <f t="shared" si="4"/>
        <v>45517</v>
      </c>
      <c r="D26" s="67"/>
      <c r="E26" s="67"/>
      <c r="F26" s="68"/>
      <c r="G26" s="69"/>
      <c r="H26" s="68"/>
      <c r="I26" s="68"/>
      <c r="J26" s="99"/>
      <c r="K26" s="21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20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10" t="str">
        <f>IF(D26="","",IF(E25="ND",VLOOKUP(D26,Datenblatt!$A$2:$C$31,3,FALSE)-1,IF(E25="ND12,5",VLOOKUP(D26,Datenblatt!$A$2:$C$31,3,FALSE)-0.5,VLOOKUP(D26,Datenblatt!$A$2:$C$31,3,FALSE))))</f>
        <v/>
      </c>
      <c r="N26" s="211" t="str">
        <f t="shared" si="2"/>
        <v/>
      </c>
      <c r="O26" s="211" t="str">
        <f t="shared" si="3"/>
        <v/>
      </c>
      <c r="P26" s="186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103" t="str">
        <f>IF(D26="","",VLOOKUP(D26,Datenblatt!$A$2:$D$31,4,FALSE))</f>
        <v/>
      </c>
      <c r="R26" s="104" t="str">
        <f>IF(E26="","",VLOOKUP(E26,Datenblatt!$E$2:$G$28,2,FALSE))</f>
        <v/>
      </c>
      <c r="S26" s="105"/>
      <c r="T26" s="111">
        <f t="shared" si="5"/>
        <v>0</v>
      </c>
      <c r="U26" s="114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12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12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54">
        <f t="array" ref="X26">IF(T26=0,0,IF((AND((ROW(T26)=MATCH(TRUE,($T$1:$T$44)&gt;0,0)))),IF(W26&gt;=6,W26-6,0),IF(W26&gt;=2,2,W26)))</f>
        <v>0</v>
      </c>
      <c r="Y26" s="254">
        <f t="array" ref="Y26">IF(T25=0,0,(IF((AND((ROW(T25)=MATCH(TRUE,($T$1:$T$44)&gt;0,0)))),IF(W25&gt;=6,6,W25),IF(W25&gt;=2,W25-2,0))))</f>
        <v>0</v>
      </c>
      <c r="Z26" s="111" t="str">
        <f t="shared" si="6"/>
        <v/>
      </c>
      <c r="AA26" s="214">
        <f>IF(E25="ND",IF(ISERROR(MATCH(D26,Datenblatt!$L$2:$L$18,0)),3,2),IF(E25="ND12,5",IF(ISERROR(MATCH(D26,Datenblatt!$L$2:$L$18,0)),2.5,2),0))</f>
        <v>0</v>
      </c>
      <c r="AB26" s="214">
        <f>IF((IF(E26="ND",14-IF(D26="",0,VLOOKUP(D26,Datenblatt!$L$2:$M$30,2,FALSE)),IF(E26="ND12,5",2,0)))&lt;0,0,(IF(E26="ND",14-IF(D26="",0,VLOOKUP(D26,Datenblatt!$L$2:$M$30,2,FALSE)),IF(E26="ND12,5",2,0))))</f>
        <v>0</v>
      </c>
      <c r="AC26" s="214">
        <f t="shared" si="7"/>
        <v>0</v>
      </c>
      <c r="AD26" s="214">
        <f t="shared" si="8"/>
        <v>0</v>
      </c>
      <c r="AE26" s="214">
        <f t="shared" si="9"/>
        <v>0</v>
      </c>
      <c r="AF26" s="112">
        <f t="shared" si="10"/>
        <v>0</v>
      </c>
      <c r="AG26" s="112">
        <f t="shared" si="11"/>
        <v>0</v>
      </c>
      <c r="AH26" s="112">
        <f>IF(E26="",0,VLOOKUP(E26,Datenblatt!$E$2:$G$28,3,FALSE))</f>
        <v>0</v>
      </c>
    </row>
    <row r="27" spans="1:34" ht="13" customHeight="1">
      <c r="A27" s="89" t="str">
        <f>IF(ISERROR(VLOOKUP(C27,Datenblatt!$B$84:$B$97,1,FALSE)),"","Ft")</f>
        <v/>
      </c>
      <c r="B27" s="84">
        <f t="shared" si="0"/>
        <v>45518</v>
      </c>
      <c r="C27" s="86">
        <f t="shared" si="4"/>
        <v>45518</v>
      </c>
      <c r="D27" s="67"/>
      <c r="E27" s="67"/>
      <c r="F27" s="68"/>
      <c r="G27" s="69"/>
      <c r="H27" s="68"/>
      <c r="I27" s="68"/>
      <c r="J27" s="99"/>
      <c r="K27" s="21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20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10" t="str">
        <f>IF(D27="","",IF(E26="ND",VLOOKUP(D27,Datenblatt!$A$2:$C$31,3,FALSE)-1,IF(E26="ND12,5",VLOOKUP(D27,Datenblatt!$A$2:$C$31,3,FALSE)-0.5,VLOOKUP(D27,Datenblatt!$A$2:$C$31,3,FALSE))))</f>
        <v/>
      </c>
      <c r="N27" s="211" t="str">
        <f t="shared" si="2"/>
        <v/>
      </c>
      <c r="O27" s="211" t="str">
        <f t="shared" si="3"/>
        <v/>
      </c>
      <c r="P27" s="186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103" t="str">
        <f>IF(D27="","",VLOOKUP(D27,Datenblatt!$A$2:$D$31,4,FALSE))</f>
        <v/>
      </c>
      <c r="R27" s="104" t="str">
        <f>IF(E27="","",VLOOKUP(E27,Datenblatt!$E$2:$G$28,2,FALSE))</f>
        <v/>
      </c>
      <c r="S27" s="105"/>
      <c r="T27" s="111">
        <f t="shared" si="5"/>
        <v>0</v>
      </c>
      <c r="U27" s="114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12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12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54">
        <f t="array" ref="X27">IF(T27=0,0,IF((AND((ROW(T27)=MATCH(TRUE,($T$1:$T$44)&gt;0,0)))),IF(W27&gt;=6,W27-6,0),IF(W27&gt;=2,2,W27)))</f>
        <v>0</v>
      </c>
      <c r="Y27" s="254">
        <f t="array" ref="Y27">IF(T26=0,0,(IF((AND((ROW(T26)=MATCH(TRUE,($T$1:$T$44)&gt;0,0)))),IF(W26&gt;=6,6,W26),IF(W26&gt;=2,W26-2,0))))</f>
        <v>0</v>
      </c>
      <c r="Z27" s="111" t="str">
        <f t="shared" si="6"/>
        <v/>
      </c>
      <c r="AA27" s="214">
        <f>IF(E26="ND",IF(ISERROR(MATCH(D27,Datenblatt!$L$2:$L$18,0)),3,2),IF(E26="ND12,5",IF(ISERROR(MATCH(D27,Datenblatt!$L$2:$L$18,0)),2.5,2),0))</f>
        <v>0</v>
      </c>
      <c r="AB27" s="214">
        <f>IF((IF(E27="ND",14-IF(D27="",0,VLOOKUP(D27,Datenblatt!$L$2:$M$30,2,FALSE)),IF(E27="ND12,5",2,0)))&lt;0,0,(IF(E27="ND",14-IF(D27="",0,VLOOKUP(D27,Datenblatt!$L$2:$M$30,2,FALSE)),IF(E27="ND12,5",2,0))))</f>
        <v>0</v>
      </c>
      <c r="AC27" s="214">
        <f t="shared" si="7"/>
        <v>0</v>
      </c>
      <c r="AD27" s="214">
        <f t="shared" si="8"/>
        <v>0</v>
      </c>
      <c r="AE27" s="214">
        <f t="shared" si="9"/>
        <v>0</v>
      </c>
      <c r="AF27" s="112">
        <f t="shared" si="10"/>
        <v>0</v>
      </c>
      <c r="AG27" s="112">
        <f t="shared" si="11"/>
        <v>0</v>
      </c>
      <c r="AH27" s="112">
        <f>IF(E27="",0,VLOOKUP(E27,Datenblatt!$E$2:$G$28,3,FALSE))</f>
        <v>0</v>
      </c>
    </row>
    <row r="28" spans="1:34" ht="13" customHeight="1">
      <c r="A28" s="89" t="str">
        <f>IF(ISERROR(VLOOKUP(C28,Datenblatt!$B$84:$B$97,1,FALSE)),"","Ft")</f>
        <v>Ft</v>
      </c>
      <c r="B28" s="84">
        <f t="shared" si="0"/>
        <v>45519</v>
      </c>
      <c r="C28" s="86">
        <f t="shared" si="4"/>
        <v>45519</v>
      </c>
      <c r="D28" s="67"/>
      <c r="E28" s="67"/>
      <c r="F28" s="68"/>
      <c r="G28" s="69"/>
      <c r="H28" s="68"/>
      <c r="I28" s="68"/>
      <c r="J28" s="99"/>
      <c r="K28" s="21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20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10" t="str">
        <f>IF(D28="","",IF(E27="ND",VLOOKUP(D28,Datenblatt!$A$2:$C$31,3,FALSE)-1,IF(E27="ND12,5",VLOOKUP(D28,Datenblatt!$A$2:$C$31,3,FALSE)-0.5,VLOOKUP(D28,Datenblatt!$A$2:$C$31,3,FALSE))))</f>
        <v/>
      </c>
      <c r="N28" s="211" t="str">
        <f t="shared" si="2"/>
        <v/>
      </c>
      <c r="O28" s="211">
        <f t="shared" si="3"/>
        <v>0</v>
      </c>
      <c r="P28" s="186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103" t="str">
        <f>IF(D28="","",VLOOKUP(D28,Datenblatt!$A$2:$D$31,4,FALSE))</f>
        <v/>
      </c>
      <c r="R28" s="104" t="str">
        <f>IF(E28="","",VLOOKUP(E28,Datenblatt!$E$2:$G$28,2,FALSE))</f>
        <v/>
      </c>
      <c r="S28" s="105"/>
      <c r="T28" s="111">
        <f t="shared" si="5"/>
        <v>0</v>
      </c>
      <c r="U28" s="114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12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12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54">
        <f t="array" ref="X28">IF(T28=0,0,IF((AND((ROW(T28)=MATCH(TRUE,($T$1:$T$44)&gt;0,0)))),IF(W28&gt;=6,W28-6,0),IF(W28&gt;=2,2,W28)))</f>
        <v>0</v>
      </c>
      <c r="Y28" s="254">
        <f t="array" ref="Y28">IF(T27=0,0,(IF((AND((ROW(T27)=MATCH(TRUE,($T$1:$T$44)&gt;0,0)))),IF(W27&gt;=6,6,W27),IF(W27&gt;=2,W27-2,0))))</f>
        <v>0</v>
      </c>
      <c r="Z28" s="111" t="str">
        <f t="shared" si="6"/>
        <v/>
      </c>
      <c r="AA28" s="214">
        <f>IF(E27="ND",IF(ISERROR(MATCH(D28,Datenblatt!$L$2:$L$18,0)),3,2),IF(E27="ND12,5",IF(ISERROR(MATCH(D28,Datenblatt!$L$2:$L$18,0)),2.5,2),0))</f>
        <v>0</v>
      </c>
      <c r="AB28" s="214">
        <f>IF((IF(E28="ND",14-IF(D28="",0,VLOOKUP(D28,Datenblatt!$L$2:$M$30,2,FALSE)),IF(E28="ND12,5",2,0)))&lt;0,0,(IF(E28="ND",14-IF(D28="",0,VLOOKUP(D28,Datenblatt!$L$2:$M$30,2,FALSE)),IF(E28="ND12,5",2,0))))</f>
        <v>0</v>
      </c>
      <c r="AC28" s="214">
        <f t="shared" si="7"/>
        <v>0</v>
      </c>
      <c r="AD28" s="214">
        <f t="shared" si="8"/>
        <v>0</v>
      </c>
      <c r="AE28" s="214">
        <f t="shared" si="9"/>
        <v>0</v>
      </c>
      <c r="AF28" s="112">
        <f t="shared" si="10"/>
        <v>0</v>
      </c>
      <c r="AG28" s="112">
        <f t="shared" si="11"/>
        <v>0</v>
      </c>
      <c r="AH28" s="112">
        <f>IF(E28="",0,VLOOKUP(E28,Datenblatt!$E$2:$G$28,3,FALSE))</f>
        <v>0</v>
      </c>
    </row>
    <row r="29" spans="1:34" ht="13" customHeight="1">
      <c r="A29" s="89" t="str">
        <f>IF(ISERROR(VLOOKUP(C29,Datenblatt!$B$84:$B$97,1,FALSE)),"","Ft")</f>
        <v/>
      </c>
      <c r="B29" s="84">
        <f t="shared" si="0"/>
        <v>45520</v>
      </c>
      <c r="C29" s="86">
        <f t="shared" si="4"/>
        <v>45520</v>
      </c>
      <c r="D29" s="67"/>
      <c r="E29" s="67"/>
      <c r="F29" s="68"/>
      <c r="G29" s="69"/>
      <c r="H29" s="68"/>
      <c r="I29" s="68"/>
      <c r="J29" s="99"/>
      <c r="K29" s="21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20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10" t="str">
        <f>IF(D29="","",IF(E28="ND",VLOOKUP(D29,Datenblatt!$A$2:$C$31,3,FALSE)-1,IF(E28="ND12,5",VLOOKUP(D29,Datenblatt!$A$2:$C$31,3,FALSE)-0.5,VLOOKUP(D29,Datenblatt!$A$2:$C$31,3,FALSE))))</f>
        <v/>
      </c>
      <c r="N29" s="211" t="str">
        <f t="shared" si="2"/>
        <v/>
      </c>
      <c r="O29" s="211" t="str">
        <f t="shared" si="3"/>
        <v/>
      </c>
      <c r="P29" s="186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103" t="str">
        <f>IF(D29="","",VLOOKUP(D29,Datenblatt!$A$2:$D$31,4,FALSE))</f>
        <v/>
      </c>
      <c r="R29" s="104" t="str">
        <f>IF(E29="","",VLOOKUP(E29,Datenblatt!$E$2:$G$28,2,FALSE))</f>
        <v/>
      </c>
      <c r="S29" s="105"/>
      <c r="T29" s="111">
        <f t="shared" si="5"/>
        <v>0</v>
      </c>
      <c r="U29" s="114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12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12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54">
        <f t="array" ref="X29">IF(T29=0,0,IF((AND((ROW(T29)=MATCH(TRUE,($T$1:$T$44)&gt;0,0)))),IF(W29&gt;=6,W29-6,0),IF(W29&gt;=2,2,W29)))</f>
        <v>0</v>
      </c>
      <c r="Y29" s="254">
        <f t="array" ref="Y29">IF(T28=0,0,(IF((AND((ROW(T28)=MATCH(TRUE,($T$1:$T$44)&gt;0,0)))),IF(W28&gt;=6,6,W28),IF(W28&gt;=2,W28-2,0))))</f>
        <v>0</v>
      </c>
      <c r="Z29" s="111" t="str">
        <f t="shared" si="6"/>
        <v/>
      </c>
      <c r="AA29" s="214">
        <f>IF(E28="ND",IF(ISERROR(MATCH(D29,Datenblatt!$L$2:$L$18,0)),3,2),IF(E28="ND12,5",IF(ISERROR(MATCH(D29,Datenblatt!$L$2:$L$18,0)),2.5,2),0))</f>
        <v>0</v>
      </c>
      <c r="AB29" s="214">
        <f>IF((IF(E29="ND",14-IF(D29="",0,VLOOKUP(D29,Datenblatt!$L$2:$M$30,2,FALSE)),IF(E29="ND12,5",2,0)))&lt;0,0,(IF(E29="ND",14-IF(D29="",0,VLOOKUP(D29,Datenblatt!$L$2:$M$30,2,FALSE)),IF(E29="ND12,5",2,0))))</f>
        <v>0</v>
      </c>
      <c r="AC29" s="214">
        <f t="shared" si="7"/>
        <v>0</v>
      </c>
      <c r="AD29" s="214">
        <f t="shared" si="8"/>
        <v>0</v>
      </c>
      <c r="AE29" s="214">
        <f t="shared" si="9"/>
        <v>0</v>
      </c>
      <c r="AF29" s="112">
        <f t="shared" si="10"/>
        <v>0</v>
      </c>
      <c r="AG29" s="112">
        <f t="shared" si="11"/>
        <v>0</v>
      </c>
      <c r="AH29" s="112">
        <f>IF(E29="",0,VLOOKUP(E29,Datenblatt!$E$2:$G$28,3,FALSE))</f>
        <v>0</v>
      </c>
    </row>
    <row r="30" spans="1:34" ht="13" customHeight="1">
      <c r="A30" s="89" t="str">
        <f>IF(ISERROR(VLOOKUP(C30,Datenblatt!$B$84:$B$97,1,FALSE)),"","Ft")</f>
        <v/>
      </c>
      <c r="B30" s="84">
        <f t="shared" si="0"/>
        <v>45521</v>
      </c>
      <c r="C30" s="86">
        <f t="shared" si="4"/>
        <v>45521</v>
      </c>
      <c r="D30" s="67"/>
      <c r="E30" s="67"/>
      <c r="F30" s="68"/>
      <c r="G30" s="69"/>
      <c r="H30" s="68"/>
      <c r="I30" s="68"/>
      <c r="J30" s="99"/>
      <c r="K30" s="21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20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10" t="str">
        <f>IF(D30="","",IF(E29="ND",VLOOKUP(D30,Datenblatt!$A$2:$C$31,3,FALSE)-1,IF(E29="ND12,5",VLOOKUP(D30,Datenblatt!$A$2:$C$31,3,FALSE)-0.5,VLOOKUP(D30,Datenblatt!$A$2:$C$31,3,FALSE))))</f>
        <v/>
      </c>
      <c r="N30" s="211" t="str">
        <f t="shared" si="2"/>
        <v/>
      </c>
      <c r="O30" s="211" t="str">
        <f t="shared" si="3"/>
        <v/>
      </c>
      <c r="P30" s="186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103" t="str">
        <f>IF(D30="","",VLOOKUP(D30,Datenblatt!$A$2:$D$31,4,FALSE))</f>
        <v/>
      </c>
      <c r="R30" s="104" t="str">
        <f>IF(E30="","",VLOOKUP(E30,Datenblatt!$E$2:$G$28,2,FALSE))</f>
        <v/>
      </c>
      <c r="S30" s="105"/>
      <c r="T30" s="111">
        <f t="shared" si="5"/>
        <v>0</v>
      </c>
      <c r="U30" s="114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12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12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54">
        <f t="array" ref="X30">IF(T30=0,0,IF((AND((ROW(T30)=MATCH(TRUE,($T$1:$T$44)&gt;0,0)))),IF(W30&gt;=6,W30-6,0),IF(W30&gt;=2,2,W30)))</f>
        <v>0</v>
      </c>
      <c r="Y30" s="254">
        <f t="array" ref="Y30">IF(T29=0,0,(IF((AND((ROW(T29)=MATCH(TRUE,($T$1:$T$44)&gt;0,0)))),IF(W29&gt;=6,6,W29),IF(W29&gt;=2,W29-2,0))))</f>
        <v>0</v>
      </c>
      <c r="Z30" s="111" t="str">
        <f t="shared" si="6"/>
        <v/>
      </c>
      <c r="AA30" s="214">
        <f>IF(E29="ND",IF(ISERROR(MATCH(D30,Datenblatt!$L$2:$L$18,0)),3,2),IF(E29="ND12,5",IF(ISERROR(MATCH(D30,Datenblatt!$L$2:$L$18,0)),2.5,2),0))</f>
        <v>0</v>
      </c>
      <c r="AB30" s="214">
        <f>IF((IF(E30="ND",14-IF(D30="",0,VLOOKUP(D30,Datenblatt!$L$2:$M$30,2,FALSE)),IF(E30="ND12,5",2,0)))&lt;0,0,(IF(E30="ND",14-IF(D30="",0,VLOOKUP(D30,Datenblatt!$L$2:$M$30,2,FALSE)),IF(E30="ND12,5",2,0))))</f>
        <v>0</v>
      </c>
      <c r="AC30" s="214">
        <f t="shared" si="7"/>
        <v>0</v>
      </c>
      <c r="AD30" s="214">
        <f t="shared" si="8"/>
        <v>0</v>
      </c>
      <c r="AE30" s="214">
        <f t="shared" si="9"/>
        <v>0</v>
      </c>
      <c r="AF30" s="112">
        <f t="shared" si="10"/>
        <v>0</v>
      </c>
      <c r="AG30" s="112">
        <f t="shared" si="11"/>
        <v>0</v>
      </c>
      <c r="AH30" s="112">
        <f>IF(E30="",0,VLOOKUP(E30,Datenblatt!$E$2:$G$28,3,FALSE))</f>
        <v>0</v>
      </c>
    </row>
    <row r="31" spans="1:34" ht="13" customHeight="1">
      <c r="A31" s="89" t="str">
        <f>IF(ISERROR(VLOOKUP(C31,Datenblatt!$B$84:$B$97,1,FALSE)),"","Ft")</f>
        <v/>
      </c>
      <c r="B31" s="84">
        <f t="shared" si="0"/>
        <v>45522</v>
      </c>
      <c r="C31" s="86">
        <f t="shared" si="4"/>
        <v>45522</v>
      </c>
      <c r="D31" s="67"/>
      <c r="E31" s="67"/>
      <c r="F31" s="68"/>
      <c r="G31" s="69"/>
      <c r="H31" s="68"/>
      <c r="I31" s="68"/>
      <c r="J31" s="99"/>
      <c r="K31" s="21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20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10" t="str">
        <f>IF(D31="","",IF(E30="ND",VLOOKUP(D31,Datenblatt!$A$2:$C$31,3,FALSE)-1,IF(E30="ND12,5",VLOOKUP(D31,Datenblatt!$A$2:$C$31,3,FALSE)-0.5,VLOOKUP(D31,Datenblatt!$A$2:$C$31,3,FALSE))))</f>
        <v/>
      </c>
      <c r="N31" s="211" t="str">
        <f t="shared" si="2"/>
        <v/>
      </c>
      <c r="O31" s="211">
        <f t="shared" si="3"/>
        <v>0</v>
      </c>
      <c r="P31" s="186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103" t="str">
        <f>IF(D31="","",VLOOKUP(D31,Datenblatt!$A$2:$D$31,4,FALSE))</f>
        <v/>
      </c>
      <c r="R31" s="104" t="str">
        <f>IF(E31="","",VLOOKUP(E31,Datenblatt!$E$2:$G$28,2,FALSE))</f>
        <v/>
      </c>
      <c r="S31" s="105"/>
      <c r="T31" s="111">
        <f t="shared" si="5"/>
        <v>0</v>
      </c>
      <c r="U31" s="114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12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12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54">
        <f t="array" ref="X31">IF(T31=0,0,IF((AND((ROW(T31)=MATCH(TRUE,($T$1:$T$44)&gt;0,0)))),IF(W31&gt;=6,W31-6,0),IF(W31&gt;=2,2,W31)))</f>
        <v>0</v>
      </c>
      <c r="Y31" s="254">
        <f t="array" ref="Y31">IF(T30=0,0,(IF((AND((ROW(T30)=MATCH(TRUE,($T$1:$T$44)&gt;0,0)))),IF(W30&gt;=6,6,W30),IF(W30&gt;=2,W30-2,0))))</f>
        <v>0</v>
      </c>
      <c r="Z31" s="111" t="str">
        <f t="shared" si="6"/>
        <v/>
      </c>
      <c r="AA31" s="214">
        <f>IF(E30="ND",IF(ISERROR(MATCH(D31,Datenblatt!$L$2:$L$18,0)),3,2),IF(E30="ND12,5",IF(ISERROR(MATCH(D31,Datenblatt!$L$2:$L$18,0)),2.5,2),0))</f>
        <v>0</v>
      </c>
      <c r="AB31" s="214">
        <f>IF((IF(E31="ND",14-IF(D31="",0,VLOOKUP(D31,Datenblatt!$L$2:$M$30,2,FALSE)),IF(E31="ND12,5",2,0)))&lt;0,0,(IF(E31="ND",14-IF(D31="",0,VLOOKUP(D31,Datenblatt!$L$2:$M$30,2,FALSE)),IF(E31="ND12,5",2,0))))</f>
        <v>0</v>
      </c>
      <c r="AC31" s="214">
        <f t="shared" si="7"/>
        <v>0</v>
      </c>
      <c r="AD31" s="214">
        <f t="shared" si="8"/>
        <v>0</v>
      </c>
      <c r="AE31" s="214">
        <f t="shared" si="9"/>
        <v>0</v>
      </c>
      <c r="AF31" s="112">
        <f t="shared" si="10"/>
        <v>0</v>
      </c>
      <c r="AG31" s="112">
        <f t="shared" si="11"/>
        <v>0</v>
      </c>
      <c r="AH31" s="112">
        <f>IF(E31="",0,VLOOKUP(E31,Datenblatt!$E$2:$G$28,3,FALSE))</f>
        <v>0</v>
      </c>
    </row>
    <row r="32" spans="1:34" ht="13" customHeight="1">
      <c r="A32" s="89" t="str">
        <f>IF(ISERROR(VLOOKUP(C32,Datenblatt!$B$84:$B$97,1,FALSE)),"","Ft")</f>
        <v/>
      </c>
      <c r="B32" s="84">
        <f t="shared" si="0"/>
        <v>45523</v>
      </c>
      <c r="C32" s="86">
        <f t="shared" si="4"/>
        <v>45523</v>
      </c>
      <c r="D32" s="67"/>
      <c r="E32" s="67"/>
      <c r="F32" s="68"/>
      <c r="G32" s="69"/>
      <c r="H32" s="68"/>
      <c r="I32" s="68"/>
      <c r="J32" s="99"/>
      <c r="K32" s="21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20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10" t="str">
        <f>IF(D32="","",IF(E31="ND",VLOOKUP(D32,Datenblatt!$A$2:$C$31,3,FALSE)-1,IF(E31="ND12,5",VLOOKUP(D32,Datenblatt!$A$2:$C$31,3,FALSE)-0.5,VLOOKUP(D32,Datenblatt!$A$2:$C$31,3,FALSE))))</f>
        <v/>
      </c>
      <c r="N32" s="211" t="str">
        <f t="shared" si="2"/>
        <v/>
      </c>
      <c r="O32" s="211" t="str">
        <f t="shared" si="3"/>
        <v/>
      </c>
      <c r="P32" s="186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103" t="str">
        <f>IF(D32="","",VLOOKUP(D32,Datenblatt!$A$2:$D$31,4,FALSE))</f>
        <v/>
      </c>
      <c r="R32" s="104" t="str">
        <f>IF(E32="","",VLOOKUP(E32,Datenblatt!$E$2:$G$28,2,FALSE))</f>
        <v/>
      </c>
      <c r="S32" s="105"/>
      <c r="T32" s="111">
        <f t="shared" si="5"/>
        <v>0</v>
      </c>
      <c r="U32" s="114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12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12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54">
        <f t="array" ref="X32">IF(T32=0,0,IF((AND((ROW(T32)=MATCH(TRUE,($T$1:$T$44)&gt;0,0)))),IF(W32&gt;=6,W32-6,0),IF(W32&gt;=2,2,W32)))</f>
        <v>0</v>
      </c>
      <c r="Y32" s="254">
        <f t="array" ref="Y32">IF(T31=0,0,(IF((AND((ROW(T31)=MATCH(TRUE,($T$1:$T$44)&gt;0,0)))),IF(W31&gt;=6,6,W31),IF(W31&gt;=2,W31-2,0))))</f>
        <v>0</v>
      </c>
      <c r="Z32" s="111" t="str">
        <f t="shared" si="6"/>
        <v/>
      </c>
      <c r="AA32" s="214">
        <f>IF(E31="ND",IF(ISERROR(MATCH(D32,Datenblatt!$L$2:$L$18,0)),3,2),IF(E31="ND12,5",IF(ISERROR(MATCH(D32,Datenblatt!$L$2:$L$18,0)),2.5,2),0))</f>
        <v>0</v>
      </c>
      <c r="AB32" s="214">
        <f>IF((IF(E32="ND",14-IF(D32="",0,VLOOKUP(D32,Datenblatt!$L$2:$M$30,2,FALSE)),IF(E32="ND12,5",2,0)))&lt;0,0,(IF(E32="ND",14-IF(D32="",0,VLOOKUP(D32,Datenblatt!$L$2:$M$30,2,FALSE)),IF(E32="ND12,5",2,0))))</f>
        <v>0</v>
      </c>
      <c r="AC32" s="214">
        <f t="shared" si="7"/>
        <v>0</v>
      </c>
      <c r="AD32" s="214">
        <f t="shared" si="8"/>
        <v>0</v>
      </c>
      <c r="AE32" s="214">
        <f t="shared" si="9"/>
        <v>0</v>
      </c>
      <c r="AF32" s="112">
        <f t="shared" si="10"/>
        <v>0</v>
      </c>
      <c r="AG32" s="112">
        <f t="shared" si="11"/>
        <v>0</v>
      </c>
      <c r="AH32" s="112">
        <f>IF(E32="",0,VLOOKUP(E32,Datenblatt!$E$2:$G$28,3,FALSE))</f>
        <v>0</v>
      </c>
    </row>
    <row r="33" spans="1:34" ht="13" customHeight="1">
      <c r="A33" s="89" t="str">
        <f>IF(ISERROR(VLOOKUP(C33,Datenblatt!$B$84:$B$97,1,FALSE)),"","Ft")</f>
        <v/>
      </c>
      <c r="B33" s="84">
        <f t="shared" si="0"/>
        <v>45524</v>
      </c>
      <c r="C33" s="86">
        <f t="shared" si="4"/>
        <v>45524</v>
      </c>
      <c r="D33" s="67"/>
      <c r="E33" s="67"/>
      <c r="F33" s="68"/>
      <c r="G33" s="69"/>
      <c r="H33" s="68"/>
      <c r="I33" s="68"/>
      <c r="J33" s="99"/>
      <c r="K33" s="21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20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10" t="str">
        <f>IF(D33="","",IF(E32="ND",VLOOKUP(D33,Datenblatt!$A$2:$C$31,3,FALSE)-1,IF(E32="ND12,5",VLOOKUP(D33,Datenblatt!$A$2:$C$31,3,FALSE)-0.5,VLOOKUP(D33,Datenblatt!$A$2:$C$31,3,FALSE))))</f>
        <v/>
      </c>
      <c r="N33" s="211" t="str">
        <f t="shared" si="2"/>
        <v/>
      </c>
      <c r="O33" s="211" t="str">
        <f t="shared" si="3"/>
        <v/>
      </c>
      <c r="P33" s="186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103" t="str">
        <f>IF(D33="","",VLOOKUP(D33,Datenblatt!$A$2:$D$31,4,FALSE))</f>
        <v/>
      </c>
      <c r="R33" s="104" t="str">
        <f>IF(E33="","",VLOOKUP(E33,Datenblatt!$E$2:$G$28,2,FALSE))</f>
        <v/>
      </c>
      <c r="S33" s="105"/>
      <c r="T33" s="111">
        <f t="shared" si="5"/>
        <v>0</v>
      </c>
      <c r="U33" s="114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12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12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54">
        <f t="array" ref="X33">IF(T33=0,0,IF((AND((ROW(T33)=MATCH(TRUE,($T$1:$T$44)&gt;0,0)))),IF(W33&gt;=6,W33-6,0),IF(W33&gt;=2,2,W33)))</f>
        <v>0</v>
      </c>
      <c r="Y33" s="254">
        <f t="array" ref="Y33">IF(T32=0,0,(IF((AND((ROW(T32)=MATCH(TRUE,($T$1:$T$44)&gt;0,0)))),IF(W32&gt;=6,6,W32),IF(W32&gt;=2,W32-2,0))))</f>
        <v>0</v>
      </c>
      <c r="Z33" s="111" t="str">
        <f t="shared" si="6"/>
        <v/>
      </c>
      <c r="AA33" s="214">
        <f>IF(E32="ND",IF(ISERROR(MATCH(D33,Datenblatt!$L$2:$L$18,0)),3,2),IF(E32="ND12,5",IF(ISERROR(MATCH(D33,Datenblatt!$L$2:$L$18,0)),2.5,2),0))</f>
        <v>0</v>
      </c>
      <c r="AB33" s="214">
        <f>IF((IF(E33="ND",14-IF(D33="",0,VLOOKUP(D33,Datenblatt!$L$2:$M$30,2,FALSE)),IF(E33="ND12,5",2,0)))&lt;0,0,(IF(E33="ND",14-IF(D33="",0,VLOOKUP(D33,Datenblatt!$L$2:$M$30,2,FALSE)),IF(E33="ND12,5",2,0))))</f>
        <v>0</v>
      </c>
      <c r="AC33" s="214">
        <f t="shared" si="7"/>
        <v>0</v>
      </c>
      <c r="AD33" s="214">
        <f t="shared" si="8"/>
        <v>0</v>
      </c>
      <c r="AE33" s="214">
        <f t="shared" si="9"/>
        <v>0</v>
      </c>
      <c r="AF33" s="112">
        <f t="shared" si="10"/>
        <v>0</v>
      </c>
      <c r="AG33" s="112">
        <f t="shared" si="11"/>
        <v>0</v>
      </c>
      <c r="AH33" s="112">
        <f>IF(E33="",0,VLOOKUP(E33,Datenblatt!$E$2:$G$28,3,FALSE))</f>
        <v>0</v>
      </c>
    </row>
    <row r="34" spans="1:34" ht="13" customHeight="1">
      <c r="A34" s="89" t="str">
        <f>IF(ISERROR(VLOOKUP(C34,Datenblatt!$B$84:$B$97,1,FALSE)),"","Ft")</f>
        <v/>
      </c>
      <c r="B34" s="84">
        <f t="shared" si="0"/>
        <v>45525</v>
      </c>
      <c r="C34" s="86">
        <f t="shared" si="4"/>
        <v>45525</v>
      </c>
      <c r="D34" s="67"/>
      <c r="E34" s="67"/>
      <c r="F34" s="68"/>
      <c r="G34" s="69"/>
      <c r="H34" s="68"/>
      <c r="I34" s="68"/>
      <c r="J34" s="99"/>
      <c r="K34" s="21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20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10" t="str">
        <f>IF(D34="","",IF(E33="ND",VLOOKUP(D34,Datenblatt!$A$2:$C$31,3,FALSE)-1,IF(E33="ND12,5",VLOOKUP(D34,Datenblatt!$A$2:$C$31,3,FALSE)-0.5,VLOOKUP(D34,Datenblatt!$A$2:$C$31,3,FALSE))))</f>
        <v/>
      </c>
      <c r="N34" s="211" t="str">
        <f t="shared" si="2"/>
        <v/>
      </c>
      <c r="O34" s="211" t="str">
        <f t="shared" si="3"/>
        <v/>
      </c>
      <c r="P34" s="186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103" t="str">
        <f>IF(D34="","",VLOOKUP(D34,Datenblatt!$A$2:$D$31,4,FALSE))</f>
        <v/>
      </c>
      <c r="R34" s="104" t="str">
        <f>IF(E34="","",VLOOKUP(E34,Datenblatt!$E$2:$G$28,2,FALSE))</f>
        <v/>
      </c>
      <c r="S34" s="105"/>
      <c r="T34" s="111">
        <f t="shared" si="5"/>
        <v>0</v>
      </c>
      <c r="U34" s="114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12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12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54">
        <f t="array" ref="X34">IF(T34=0,0,IF((AND((ROW(T34)=MATCH(TRUE,($T$1:$T$44)&gt;0,0)))),IF(W34&gt;=6,W34-6,0),IF(W34&gt;=2,2,W34)))</f>
        <v>0</v>
      </c>
      <c r="Y34" s="254">
        <f t="array" ref="Y34">IF(T33=0,0,(IF((AND((ROW(T33)=MATCH(TRUE,($T$1:$T$44)&gt;0,0)))),IF(W33&gt;=6,6,W33),IF(W33&gt;=2,W33-2,0))))</f>
        <v>0</v>
      </c>
      <c r="Z34" s="111" t="str">
        <f t="shared" si="6"/>
        <v/>
      </c>
      <c r="AA34" s="214">
        <f>IF(E33="ND",IF(ISERROR(MATCH(D34,Datenblatt!$L$2:$L$18,0)),3,2),IF(E33="ND12,5",IF(ISERROR(MATCH(D34,Datenblatt!$L$2:$L$18,0)),2.5,2),0))</f>
        <v>0</v>
      </c>
      <c r="AB34" s="214">
        <f>IF((IF(E34="ND",14-IF(D34="",0,VLOOKUP(D34,Datenblatt!$L$2:$M$30,2,FALSE)),IF(E34="ND12,5",2,0)))&lt;0,0,(IF(E34="ND",14-IF(D34="",0,VLOOKUP(D34,Datenblatt!$L$2:$M$30,2,FALSE)),IF(E34="ND12,5",2,0))))</f>
        <v>0</v>
      </c>
      <c r="AC34" s="214">
        <f t="shared" si="7"/>
        <v>0</v>
      </c>
      <c r="AD34" s="214">
        <f t="shared" si="8"/>
        <v>0</v>
      </c>
      <c r="AE34" s="214">
        <f t="shared" si="9"/>
        <v>0</v>
      </c>
      <c r="AF34" s="112">
        <f t="shared" si="10"/>
        <v>0</v>
      </c>
      <c r="AG34" s="112">
        <f t="shared" si="11"/>
        <v>0</v>
      </c>
      <c r="AH34" s="112">
        <f>IF(E34="",0,VLOOKUP(E34,Datenblatt!$E$2:$G$28,3,FALSE))</f>
        <v>0</v>
      </c>
    </row>
    <row r="35" spans="1:34" ht="13" customHeight="1">
      <c r="A35" s="89" t="str">
        <f>IF(ISERROR(VLOOKUP(C35,Datenblatt!$B$84:$B$97,1,FALSE)),"","Ft")</f>
        <v/>
      </c>
      <c r="B35" s="84">
        <f t="shared" si="0"/>
        <v>45526</v>
      </c>
      <c r="C35" s="86">
        <f t="shared" si="4"/>
        <v>45526</v>
      </c>
      <c r="D35" s="67"/>
      <c r="E35" s="67"/>
      <c r="F35" s="68"/>
      <c r="G35" s="69"/>
      <c r="H35" s="68"/>
      <c r="I35" s="68"/>
      <c r="J35" s="99"/>
      <c r="K35" s="21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20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10" t="str">
        <f>IF(D35="","",IF(E34="ND",VLOOKUP(D35,Datenblatt!$A$2:$C$31,3,FALSE)-1,IF(E34="ND12,5",VLOOKUP(D35,Datenblatt!$A$2:$C$31,3,FALSE)-0.5,VLOOKUP(D35,Datenblatt!$A$2:$C$31,3,FALSE))))</f>
        <v/>
      </c>
      <c r="N35" s="211" t="str">
        <f t="shared" si="2"/>
        <v/>
      </c>
      <c r="O35" s="211" t="str">
        <f t="shared" si="3"/>
        <v/>
      </c>
      <c r="P35" s="186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103" t="str">
        <f>IF(D35="","",VLOOKUP(D35,Datenblatt!$A$2:$D$31,4,FALSE))</f>
        <v/>
      </c>
      <c r="R35" s="104" t="str">
        <f>IF(E35="","",VLOOKUP(E35,Datenblatt!$E$2:$G$28,2,FALSE))</f>
        <v/>
      </c>
      <c r="S35" s="105"/>
      <c r="T35" s="111">
        <f t="shared" si="5"/>
        <v>0</v>
      </c>
      <c r="U35" s="114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12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12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54">
        <f t="array" ref="X35">IF(T35=0,0,IF((AND((ROW(T35)=MATCH(TRUE,($T$1:$T$44)&gt;0,0)))),IF(W35&gt;=6,W35-6,0),IF(W35&gt;=2,2,W35)))</f>
        <v>0</v>
      </c>
      <c r="Y35" s="254">
        <f t="array" ref="Y35">IF(T34=0,0,(IF((AND((ROW(T34)=MATCH(TRUE,($T$1:$T$44)&gt;0,0)))),IF(W34&gt;=6,6,W34),IF(W34&gt;=2,W34-2,0))))</f>
        <v>0</v>
      </c>
      <c r="Z35" s="111" t="str">
        <f t="shared" si="6"/>
        <v/>
      </c>
      <c r="AA35" s="214">
        <f>IF(E34="ND",IF(ISERROR(MATCH(D35,Datenblatt!$L$2:$L$18,0)),3,2),IF(E34="ND12,5",IF(ISERROR(MATCH(D35,Datenblatt!$L$2:$L$18,0)),2.5,2),0))</f>
        <v>0</v>
      </c>
      <c r="AB35" s="214">
        <f>IF((IF(E35="ND",14-IF(D35="",0,VLOOKUP(D35,Datenblatt!$L$2:$M$30,2,FALSE)),IF(E35="ND12,5",2,0)))&lt;0,0,(IF(E35="ND",14-IF(D35="",0,VLOOKUP(D35,Datenblatt!$L$2:$M$30,2,FALSE)),IF(E35="ND12,5",2,0))))</f>
        <v>0</v>
      </c>
      <c r="AC35" s="214">
        <f t="shared" si="7"/>
        <v>0</v>
      </c>
      <c r="AD35" s="214">
        <f t="shared" si="8"/>
        <v>0</v>
      </c>
      <c r="AE35" s="214">
        <f t="shared" si="9"/>
        <v>0</v>
      </c>
      <c r="AF35" s="112">
        <f t="shared" si="10"/>
        <v>0</v>
      </c>
      <c r="AG35" s="112">
        <f t="shared" si="11"/>
        <v>0</v>
      </c>
      <c r="AH35" s="112">
        <f>IF(E35="",0,VLOOKUP(E35,Datenblatt!$E$2:$G$28,3,FALSE))</f>
        <v>0</v>
      </c>
    </row>
    <row r="36" spans="1:34" ht="13" customHeight="1">
      <c r="A36" s="89" t="str">
        <f>IF(ISERROR(VLOOKUP(C36,Datenblatt!$B$84:$B$97,1,FALSE)),"","Ft")</f>
        <v/>
      </c>
      <c r="B36" s="84">
        <f t="shared" si="0"/>
        <v>45527</v>
      </c>
      <c r="C36" s="86">
        <f t="shared" si="4"/>
        <v>45527</v>
      </c>
      <c r="D36" s="67"/>
      <c r="E36" s="67"/>
      <c r="F36" s="68"/>
      <c r="G36" s="69"/>
      <c r="H36" s="68"/>
      <c r="I36" s="68"/>
      <c r="J36" s="99"/>
      <c r="K36" s="21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20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10" t="str">
        <f>IF(D36="","",IF(E35="ND",VLOOKUP(D36,Datenblatt!$A$2:$C$31,3,FALSE)-1,IF(E35="ND12,5",VLOOKUP(D36,Datenblatt!$A$2:$C$31,3,FALSE)-0.5,VLOOKUP(D36,Datenblatt!$A$2:$C$31,3,FALSE))))</f>
        <v/>
      </c>
      <c r="N36" s="211" t="str">
        <f t="shared" si="2"/>
        <v/>
      </c>
      <c r="O36" s="211" t="str">
        <f t="shared" si="3"/>
        <v/>
      </c>
      <c r="P36" s="186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103" t="str">
        <f>IF(D36="","",VLOOKUP(D36,Datenblatt!$A$2:$D$31,4,FALSE))</f>
        <v/>
      </c>
      <c r="R36" s="104" t="str">
        <f>IF(E36="","",VLOOKUP(E36,Datenblatt!$E$2:$G$28,2,FALSE))</f>
        <v/>
      </c>
      <c r="S36" s="105"/>
      <c r="T36" s="111">
        <f t="shared" si="5"/>
        <v>0</v>
      </c>
      <c r="U36" s="114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12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12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54">
        <f t="array" ref="X36">IF(T36=0,0,IF((AND((ROW(T36)=MATCH(TRUE,($T$1:$T$44)&gt;0,0)))),IF(W36&gt;=6,W36-6,0),IF(W36&gt;=2,2,W36)))</f>
        <v>0</v>
      </c>
      <c r="Y36" s="254">
        <f t="array" ref="Y36">IF(T35=0,0,(IF((AND((ROW(T35)=MATCH(TRUE,($T$1:$T$44)&gt;0,0)))),IF(W35&gt;=6,6,W35),IF(W35&gt;=2,W35-2,0))))</f>
        <v>0</v>
      </c>
      <c r="Z36" s="111" t="str">
        <f t="shared" si="6"/>
        <v/>
      </c>
      <c r="AA36" s="214">
        <f>IF(E35="ND",IF(ISERROR(MATCH(D36,Datenblatt!$L$2:$L$18,0)),3,2),IF(E35="ND12,5",IF(ISERROR(MATCH(D36,Datenblatt!$L$2:$L$18,0)),2.5,2),0))</f>
        <v>0</v>
      </c>
      <c r="AB36" s="214">
        <f>IF((IF(E36="ND",14-IF(D36="",0,VLOOKUP(D36,Datenblatt!$L$2:$M$30,2,FALSE)),IF(E36="ND12,5",2,0)))&lt;0,0,(IF(E36="ND",14-IF(D36="",0,VLOOKUP(D36,Datenblatt!$L$2:$M$30,2,FALSE)),IF(E36="ND12,5",2,0))))</f>
        <v>0</v>
      </c>
      <c r="AC36" s="214">
        <f t="shared" si="7"/>
        <v>0</v>
      </c>
      <c r="AD36" s="214">
        <f t="shared" si="8"/>
        <v>0</v>
      </c>
      <c r="AE36" s="214">
        <f t="shared" si="9"/>
        <v>0</v>
      </c>
      <c r="AF36" s="112">
        <f t="shared" si="10"/>
        <v>0</v>
      </c>
      <c r="AG36" s="112">
        <f t="shared" si="11"/>
        <v>0</v>
      </c>
      <c r="AH36" s="112">
        <f>IF(E36="",0,VLOOKUP(E36,Datenblatt!$E$2:$G$28,3,FALSE))</f>
        <v>0</v>
      </c>
    </row>
    <row r="37" spans="1:34" ht="13" customHeight="1">
      <c r="A37" s="89" t="str">
        <f>IF(ISERROR(VLOOKUP(C37,Datenblatt!$B$84:$B$97,1,FALSE)),"","Ft")</f>
        <v/>
      </c>
      <c r="B37" s="84">
        <f t="shared" si="0"/>
        <v>45528</v>
      </c>
      <c r="C37" s="86">
        <f t="shared" si="4"/>
        <v>45528</v>
      </c>
      <c r="D37" s="67"/>
      <c r="E37" s="67"/>
      <c r="F37" s="68"/>
      <c r="G37" s="69"/>
      <c r="H37" s="68"/>
      <c r="I37" s="68"/>
      <c r="J37" s="99"/>
      <c r="K37" s="21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20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10" t="str">
        <f>IF(D37="","",IF(E36="ND",VLOOKUP(D37,Datenblatt!$A$2:$C$31,3,FALSE)-1,IF(E36="ND12,5",VLOOKUP(D37,Datenblatt!$A$2:$C$31,3,FALSE)-0.5,VLOOKUP(D37,Datenblatt!$A$2:$C$31,3,FALSE))))</f>
        <v/>
      </c>
      <c r="N37" s="211" t="str">
        <f t="shared" si="2"/>
        <v/>
      </c>
      <c r="O37" s="211" t="str">
        <f t="shared" si="3"/>
        <v/>
      </c>
      <c r="P37" s="186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103" t="str">
        <f>IF(D37="","",VLOOKUP(D37,Datenblatt!$A$2:$D$31,4,FALSE))</f>
        <v/>
      </c>
      <c r="R37" s="104" t="str">
        <f>IF(E37="","",VLOOKUP(E37,Datenblatt!$E$2:$G$28,2,FALSE))</f>
        <v/>
      </c>
      <c r="S37" s="105"/>
      <c r="T37" s="111">
        <f t="shared" si="5"/>
        <v>0</v>
      </c>
      <c r="U37" s="114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12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12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54">
        <f t="array" ref="X37">IF(T37=0,0,IF((AND((ROW(T37)=MATCH(TRUE,($T$1:$T$44)&gt;0,0)))),IF(W37&gt;=6,W37-6,0),IF(W37&gt;=2,2,W37)))</f>
        <v>0</v>
      </c>
      <c r="Y37" s="254">
        <f t="array" ref="Y37">IF(T36=0,0,(IF((AND((ROW(T36)=MATCH(TRUE,($T$1:$T$44)&gt;0,0)))),IF(W36&gt;=6,6,W36),IF(W36&gt;=2,W36-2,0))))</f>
        <v>0</v>
      </c>
      <c r="Z37" s="111" t="str">
        <f t="shared" si="6"/>
        <v/>
      </c>
      <c r="AA37" s="214">
        <f>IF(E36="ND",IF(ISERROR(MATCH(D37,Datenblatt!$L$2:$L$18,0)),3,2),IF(E36="ND12,5",IF(ISERROR(MATCH(D37,Datenblatt!$L$2:$L$18,0)),2.5,2),0))</f>
        <v>0</v>
      </c>
      <c r="AB37" s="214">
        <f>IF((IF(E37="ND",14-IF(D37="",0,VLOOKUP(D37,Datenblatt!$L$2:$M$30,2,FALSE)),IF(E37="ND12,5",2,0)))&lt;0,0,(IF(E37="ND",14-IF(D37="",0,VLOOKUP(D37,Datenblatt!$L$2:$M$30,2,FALSE)),IF(E37="ND12,5",2,0))))</f>
        <v>0</v>
      </c>
      <c r="AC37" s="214">
        <f t="shared" si="7"/>
        <v>0</v>
      </c>
      <c r="AD37" s="214">
        <f t="shared" si="8"/>
        <v>0</v>
      </c>
      <c r="AE37" s="214">
        <f t="shared" si="9"/>
        <v>0</v>
      </c>
      <c r="AF37" s="112">
        <f t="shared" si="10"/>
        <v>0</v>
      </c>
      <c r="AG37" s="112">
        <f t="shared" si="11"/>
        <v>0</v>
      </c>
      <c r="AH37" s="112">
        <f>IF(E37="",0,VLOOKUP(E37,Datenblatt!$E$2:$G$28,3,FALSE))</f>
        <v>0</v>
      </c>
    </row>
    <row r="38" spans="1:34" ht="13" customHeight="1">
      <c r="A38" s="89" t="str">
        <f>IF(ISERROR(VLOOKUP(C38,Datenblatt!$B$84:$B$97,1,FALSE)),"","Ft")</f>
        <v/>
      </c>
      <c r="B38" s="84">
        <f t="shared" si="0"/>
        <v>45529</v>
      </c>
      <c r="C38" s="86">
        <f t="shared" si="4"/>
        <v>45529</v>
      </c>
      <c r="D38" s="67"/>
      <c r="E38" s="67"/>
      <c r="F38" s="68"/>
      <c r="G38" s="69"/>
      <c r="H38" s="68"/>
      <c r="I38" s="68"/>
      <c r="J38" s="99"/>
      <c r="K38" s="21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20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10" t="str">
        <f>IF(D38="","",IF(E37="ND",VLOOKUP(D38,Datenblatt!$A$2:$C$31,3,FALSE)-1,IF(E37="ND12,5",VLOOKUP(D38,Datenblatt!$A$2:$C$31,3,FALSE)-0.5,VLOOKUP(D38,Datenblatt!$A$2:$C$31,3,FALSE))))</f>
        <v/>
      </c>
      <c r="N38" s="211" t="str">
        <f t="shared" si="2"/>
        <v/>
      </c>
      <c r="O38" s="211">
        <f t="shared" si="3"/>
        <v>0</v>
      </c>
      <c r="P38" s="186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103" t="str">
        <f>IF(D38="","",VLOOKUP(D38,Datenblatt!$A$2:$D$31,4,FALSE))</f>
        <v/>
      </c>
      <c r="R38" s="104" t="str">
        <f>IF(E38="","",VLOOKUP(E38,Datenblatt!$E$2:$G$28,2,FALSE))</f>
        <v/>
      </c>
      <c r="S38" s="105"/>
      <c r="T38" s="111">
        <f t="shared" si="5"/>
        <v>0</v>
      </c>
      <c r="U38" s="114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12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12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54">
        <f t="array" ref="X38">IF(T38=0,0,IF((AND((ROW(T38)=MATCH(TRUE,($T$1:$T$44)&gt;0,0)))),IF(W38&gt;=6,W38-6,0),IF(W38&gt;=2,2,W38)))</f>
        <v>0</v>
      </c>
      <c r="Y38" s="254">
        <f t="array" ref="Y38">IF(T37=0,0,(IF((AND((ROW(T37)=MATCH(TRUE,($T$1:$T$44)&gt;0,0)))),IF(W37&gt;=6,6,W37),IF(W37&gt;=2,W37-2,0))))</f>
        <v>0</v>
      </c>
      <c r="Z38" s="111" t="str">
        <f t="shared" si="6"/>
        <v/>
      </c>
      <c r="AA38" s="214">
        <f>IF(E37="ND",IF(ISERROR(MATCH(D38,Datenblatt!$L$2:$L$18,0)),3,2),IF(E37="ND12,5",IF(ISERROR(MATCH(D38,Datenblatt!$L$2:$L$18,0)),2.5,2),0))</f>
        <v>0</v>
      </c>
      <c r="AB38" s="214">
        <f>IF((IF(E38="ND",14-IF(D38="",0,VLOOKUP(D38,Datenblatt!$L$2:$M$30,2,FALSE)),IF(E38="ND12,5",2,0)))&lt;0,0,(IF(E38="ND",14-IF(D38="",0,VLOOKUP(D38,Datenblatt!$L$2:$M$30,2,FALSE)),IF(E38="ND12,5",2,0))))</f>
        <v>0</v>
      </c>
      <c r="AC38" s="214">
        <f t="shared" si="7"/>
        <v>0</v>
      </c>
      <c r="AD38" s="214">
        <f t="shared" si="8"/>
        <v>0</v>
      </c>
      <c r="AE38" s="214">
        <f t="shared" si="9"/>
        <v>0</v>
      </c>
      <c r="AF38" s="112">
        <f t="shared" si="10"/>
        <v>0</v>
      </c>
      <c r="AG38" s="112">
        <f t="shared" si="11"/>
        <v>0</v>
      </c>
      <c r="AH38" s="112">
        <f>IF(E38="",0,VLOOKUP(E38,Datenblatt!$E$2:$G$28,3,FALSE))</f>
        <v>0</v>
      </c>
    </row>
    <row r="39" spans="1:34" ht="13" customHeight="1">
      <c r="A39" s="89" t="str">
        <f>IF(ISERROR(VLOOKUP(C39,Datenblatt!$B$84:$B$97,1,FALSE)),"","Ft")</f>
        <v/>
      </c>
      <c r="B39" s="84">
        <f t="shared" si="0"/>
        <v>45530</v>
      </c>
      <c r="C39" s="86">
        <f t="shared" si="4"/>
        <v>45530</v>
      </c>
      <c r="D39" s="67"/>
      <c r="E39" s="67"/>
      <c r="F39" s="68"/>
      <c r="G39" s="69"/>
      <c r="H39" s="68"/>
      <c r="I39" s="68"/>
      <c r="J39" s="99"/>
      <c r="K39" s="21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20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10" t="str">
        <f>IF(D39="","",IF(E38="ND",VLOOKUP(D39,Datenblatt!$A$2:$C$31,3,FALSE)-1,IF(E38="ND12,5",VLOOKUP(D39,Datenblatt!$A$2:$C$31,3,FALSE)-0.5,VLOOKUP(D39,Datenblatt!$A$2:$C$31,3,FALSE))))</f>
        <v/>
      </c>
      <c r="N39" s="211" t="str">
        <f t="shared" si="2"/>
        <v/>
      </c>
      <c r="O39" s="211" t="str">
        <f t="shared" si="3"/>
        <v/>
      </c>
      <c r="P39" s="186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103" t="str">
        <f>IF(D39="","",VLOOKUP(D39,Datenblatt!$A$2:$D$31,4,FALSE))</f>
        <v/>
      </c>
      <c r="R39" s="104" t="str">
        <f>IF(E39="","",VLOOKUP(E39,Datenblatt!$E$2:$G$28,2,FALSE))</f>
        <v/>
      </c>
      <c r="S39" s="105"/>
      <c r="T39" s="111">
        <f t="shared" si="5"/>
        <v>0</v>
      </c>
      <c r="U39" s="114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12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12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54">
        <f t="array" ref="X39">IF(T39=0,0,IF((AND((ROW(T39)=MATCH(TRUE,($T$1:$T$44)&gt;0,0)))),IF(W39&gt;=6,W39-6,0),IF(W39&gt;=2,2,W39)))</f>
        <v>0</v>
      </c>
      <c r="Y39" s="254">
        <f t="array" ref="Y39">IF(T38=0,0,(IF((AND((ROW(T38)=MATCH(TRUE,($T$1:$T$44)&gt;0,0)))),IF(W38&gt;=6,6,W38),IF(W38&gt;=2,W38-2,0))))</f>
        <v>0</v>
      </c>
      <c r="Z39" s="111" t="str">
        <f t="shared" si="6"/>
        <v/>
      </c>
      <c r="AA39" s="214">
        <f>IF(E38="ND",IF(ISERROR(MATCH(D39,Datenblatt!$L$2:$L$18,0)),3,2),IF(E38="ND12,5",IF(ISERROR(MATCH(D39,Datenblatt!$L$2:$L$18,0)),2.5,2),0))</f>
        <v>0</v>
      </c>
      <c r="AB39" s="214">
        <f>IF((IF(E39="ND",14-IF(D39="",0,VLOOKUP(D39,Datenblatt!$L$2:$M$30,2,FALSE)),IF(E39="ND12,5",2,0)))&lt;0,0,(IF(E39="ND",14-IF(D39="",0,VLOOKUP(D39,Datenblatt!$L$2:$M$30,2,FALSE)),IF(E39="ND12,5",2,0))))</f>
        <v>0</v>
      </c>
      <c r="AC39" s="214">
        <f t="shared" si="7"/>
        <v>0</v>
      </c>
      <c r="AD39" s="214">
        <f t="shared" si="8"/>
        <v>0</v>
      </c>
      <c r="AE39" s="214">
        <f t="shared" si="9"/>
        <v>0</v>
      </c>
      <c r="AF39" s="112">
        <f t="shared" si="10"/>
        <v>0</v>
      </c>
      <c r="AG39" s="112">
        <f t="shared" si="11"/>
        <v>0</v>
      </c>
      <c r="AH39" s="112">
        <f>IF(E39="",0,VLOOKUP(E39,Datenblatt!$E$2:$G$28,3,FALSE))</f>
        <v>0</v>
      </c>
    </row>
    <row r="40" spans="1:34" ht="13" customHeight="1">
      <c r="A40" s="89" t="str">
        <f>IF(ISERROR(VLOOKUP(C40,Datenblatt!$B$84:$B$97,1,FALSE)),"","Ft")</f>
        <v/>
      </c>
      <c r="B40" s="84">
        <f t="shared" si="0"/>
        <v>45531</v>
      </c>
      <c r="C40" s="86">
        <f t="shared" si="4"/>
        <v>45531</v>
      </c>
      <c r="D40" s="67"/>
      <c r="E40" s="67"/>
      <c r="F40" s="68"/>
      <c r="G40" s="69"/>
      <c r="H40" s="68"/>
      <c r="I40" s="68"/>
      <c r="J40" s="99"/>
      <c r="K40" s="21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20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10" t="str">
        <f>IF(D40="","",IF(E39="ND",VLOOKUP(D40,Datenblatt!$A$2:$C$31,3,FALSE)-1,IF(E39="ND12,5",VLOOKUP(D40,Datenblatt!$A$2:$C$31,3,FALSE)-0.5,VLOOKUP(D40,Datenblatt!$A$2:$C$31,3,FALSE))))</f>
        <v/>
      </c>
      <c r="N40" s="211" t="str">
        <f t="shared" si="2"/>
        <v/>
      </c>
      <c r="O40" s="211" t="str">
        <f t="shared" si="3"/>
        <v/>
      </c>
      <c r="P40" s="186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103" t="str">
        <f>IF(D40="","",VLOOKUP(D40,Datenblatt!$A$2:$D$31,4,FALSE))</f>
        <v/>
      </c>
      <c r="R40" s="104" t="str">
        <f>IF(E40="","",VLOOKUP(E40,Datenblatt!$E$2:$G$28,2,FALSE))</f>
        <v/>
      </c>
      <c r="S40" s="106"/>
      <c r="T40" s="111">
        <f t="shared" si="5"/>
        <v>0</v>
      </c>
      <c r="U40" s="114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12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12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54">
        <f t="array" ref="X40">IF(T40=0,0,IF((AND((ROW(T40)=MATCH(TRUE,($T$1:$T$44)&gt;0,0)))),IF(W40&gt;=6,W40-6,0),IF(W40&gt;=2,2,W40)))</f>
        <v>0</v>
      </c>
      <c r="Y40" s="254">
        <f t="array" ref="Y40">IF(T39=0,0,(IF((AND((ROW(T39)=MATCH(TRUE,($T$1:$T$44)&gt;0,0)))),IF(W39&gt;=6,6,W39),IF(W39&gt;=2,W39-2,0))))</f>
        <v>0</v>
      </c>
      <c r="Z40" s="111" t="str">
        <f t="shared" si="6"/>
        <v/>
      </c>
      <c r="AA40" s="214">
        <f>IF(E39="ND",IF(ISERROR(MATCH(D40,Datenblatt!$L$2:$L$18,0)),3,2),IF(E39="ND12,5",IF(ISERROR(MATCH(D40,Datenblatt!$L$2:$L$18,0)),2.5,2),0))</f>
        <v>0</v>
      </c>
      <c r="AB40" s="214">
        <f>IF((IF(E40="ND",14-IF(D40="",0,VLOOKUP(D40,Datenblatt!$L$2:$M$30,2,FALSE)),IF(E40="ND12,5",2,0)))&lt;0,0,(IF(E40="ND",14-IF(D40="",0,VLOOKUP(D40,Datenblatt!$L$2:$M$30,2,FALSE)),IF(E40="ND12,5",2,0))))</f>
        <v>0</v>
      </c>
      <c r="AC40" s="214">
        <f t="shared" si="7"/>
        <v>0</v>
      </c>
      <c r="AD40" s="214">
        <f t="shared" si="8"/>
        <v>0</v>
      </c>
      <c r="AE40" s="214">
        <f t="shared" si="9"/>
        <v>0</v>
      </c>
      <c r="AF40" s="112">
        <f t="shared" si="10"/>
        <v>0</v>
      </c>
      <c r="AG40" s="112">
        <f t="shared" si="11"/>
        <v>0</v>
      </c>
      <c r="AH40" s="112">
        <f>IF(E40="",0,VLOOKUP(E40,Datenblatt!$E$2:$G$28,3,FALSE))</f>
        <v>0</v>
      </c>
    </row>
    <row r="41" spans="1:34" ht="13" customHeight="1">
      <c r="A41" s="89" t="str">
        <f>IF(ISERROR(VLOOKUP(C41,Datenblatt!$B$84:$B$97,1,FALSE)),"","Ft")</f>
        <v/>
      </c>
      <c r="B41" s="84">
        <f t="shared" si="0"/>
        <v>45532</v>
      </c>
      <c r="C41" s="86">
        <f t="shared" si="4"/>
        <v>45532</v>
      </c>
      <c r="D41" s="67"/>
      <c r="E41" s="67"/>
      <c r="F41" s="68"/>
      <c r="G41" s="69"/>
      <c r="H41" s="68"/>
      <c r="I41" s="68"/>
      <c r="J41" s="99"/>
      <c r="K41" s="21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20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10" t="str">
        <f>IF(D41="","",IF(E40="ND",VLOOKUP(D41,Datenblatt!$A$2:$C$31,3,FALSE)-1,IF(E40="ND12,5",VLOOKUP(D41,Datenblatt!$A$2:$C$31,3,FALSE)-0.5,VLOOKUP(D41,Datenblatt!$A$2:$C$31,3,FALSE))))</f>
        <v/>
      </c>
      <c r="N41" s="211" t="str">
        <f t="shared" si="2"/>
        <v/>
      </c>
      <c r="O41" s="211" t="str">
        <f t="shared" si="3"/>
        <v/>
      </c>
      <c r="P41" s="186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103" t="str">
        <f>IF(D41="","",VLOOKUP(D41,Datenblatt!$A$2:$D$31,4,FALSE))</f>
        <v/>
      </c>
      <c r="R41" s="104" t="str">
        <f>IF(E41="","",VLOOKUP(E41,Datenblatt!$E$2:$G$28,2,FALSE))</f>
        <v/>
      </c>
      <c r="S41" s="106"/>
      <c r="T41" s="111">
        <f t="shared" si="5"/>
        <v>0</v>
      </c>
      <c r="U41" s="114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12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12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54">
        <f t="array" ref="X41">IF(T41=0,0,IF((AND((ROW(T41)=MATCH(TRUE,($T$1:$T$44)&gt;0,0)))),IF(W41&gt;=6,W41-6,0),IF(W41&gt;=2,2,W41)))</f>
        <v>0</v>
      </c>
      <c r="Y41" s="254">
        <f t="array" ref="Y41">IF(T40=0,0,(IF((AND((ROW(T40)=MATCH(TRUE,($T$1:$T$44)&gt;0,0)))),IF(W40&gt;=6,6,W40),IF(W40&gt;=2,W40-2,0))))</f>
        <v>0</v>
      </c>
      <c r="Z41" s="111" t="str">
        <f t="shared" si="6"/>
        <v/>
      </c>
      <c r="AA41" s="214">
        <f>IF(E40="ND",IF(ISERROR(MATCH(D41,Datenblatt!$L$2:$L$18,0)),3,2),IF(E40="ND12,5",IF(ISERROR(MATCH(D41,Datenblatt!$L$2:$L$18,0)),2.5,2),0))</f>
        <v>0</v>
      </c>
      <c r="AB41" s="214">
        <f>IF((IF(E41="ND",14-IF(D41="",0,VLOOKUP(D41,Datenblatt!$L$2:$M$30,2,FALSE)),IF(E41="ND12,5",2,0)))&lt;0,0,(IF(E41="ND",14-IF(D41="",0,VLOOKUP(D41,Datenblatt!$L$2:$M$30,2,FALSE)),IF(E41="ND12,5",2,0))))</f>
        <v>0</v>
      </c>
      <c r="AC41" s="214">
        <f t="shared" si="7"/>
        <v>0</v>
      </c>
      <c r="AD41" s="214">
        <f t="shared" si="8"/>
        <v>0</v>
      </c>
      <c r="AE41" s="214">
        <f t="shared" si="9"/>
        <v>0</v>
      </c>
      <c r="AF41" s="112">
        <f t="shared" si="10"/>
        <v>0</v>
      </c>
      <c r="AG41" s="112">
        <f t="shared" si="11"/>
        <v>0</v>
      </c>
      <c r="AH41" s="112">
        <f>IF(E41="",0,VLOOKUP(E41,Datenblatt!$E$2:$G$28,3,FALSE))</f>
        <v>0</v>
      </c>
    </row>
    <row r="42" spans="1:34" ht="13" customHeight="1">
      <c r="A42" s="89" t="str">
        <f>IF(ISERROR(VLOOKUP(C42,Datenblatt!$B$84:$B$97,1,FALSE)),"","Ft")</f>
        <v/>
      </c>
      <c r="B42" s="84">
        <f t="shared" si="0"/>
        <v>45533</v>
      </c>
      <c r="C42" s="86">
        <f>C41+1</f>
        <v>45533</v>
      </c>
      <c r="D42" s="67"/>
      <c r="E42" s="67"/>
      <c r="F42" s="68"/>
      <c r="G42" s="69"/>
      <c r="H42" s="68"/>
      <c r="I42" s="68"/>
      <c r="J42" s="99"/>
      <c r="K42" s="21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20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10" t="str">
        <f>IF(D42="","",IF(E41="ND",VLOOKUP(D42,Datenblatt!$A$2:$C$31,3,FALSE)-1,IF(E41="ND12,5",VLOOKUP(D42,Datenblatt!$A$2:$C$31,3,FALSE)-0.5,VLOOKUP(D42,Datenblatt!$A$2:$C$31,3,FALSE))))</f>
        <v/>
      </c>
      <c r="N42" s="211" t="str">
        <f t="shared" si="2"/>
        <v/>
      </c>
      <c r="O42" s="211" t="str">
        <f t="shared" si="3"/>
        <v/>
      </c>
      <c r="P42" s="186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103" t="str">
        <f>IF(D42="","",VLOOKUP(D42,Datenblatt!$A$2:$D$31,4,FALSE))</f>
        <v/>
      </c>
      <c r="R42" s="104" t="str">
        <f>IF(E42="","",VLOOKUP(E42,Datenblatt!$E$2:$G$28,2,FALSE))</f>
        <v/>
      </c>
      <c r="S42" s="106"/>
      <c r="T42" s="111">
        <f t="shared" si="5"/>
        <v>0</v>
      </c>
      <c r="U42" s="114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12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12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54">
        <f t="array" ref="X42">IF(T42=0,0,IF((AND((ROW(T42)=MATCH(TRUE,($T$1:$T$44)&gt;0,0)))),IF(W42&gt;=6,W42-6,0),IF(W42&gt;=2,2,W42)))</f>
        <v>0</v>
      </c>
      <c r="Y42" s="254">
        <f t="array" ref="Y42">IF(T41=0,0,(IF((AND((ROW(T41)=MATCH(TRUE,($T$1:$T$44)&gt;0,0)))),IF(W41&gt;=6,6,W41),IF(W41&gt;=2,W41-2,0))))</f>
        <v>0</v>
      </c>
      <c r="Z42" s="111" t="str">
        <f t="shared" si="6"/>
        <v/>
      </c>
      <c r="AA42" s="214">
        <f>IF(E41="ND",IF(ISERROR(MATCH(D42,Datenblatt!$L$2:$L$18,0)),3,2),IF(E41="ND12,5",IF(ISERROR(MATCH(D42,Datenblatt!$L$2:$L$18,0)),2.5,2),0))</f>
        <v>0</v>
      </c>
      <c r="AB42" s="214">
        <f>IF((IF(E42="ND",14-IF(D42="",0,VLOOKUP(D42,Datenblatt!$L$2:$M$30,2,FALSE)),IF(E42="ND12,5",2,0)))&lt;0,0,(IF(E42="ND",14-IF(D42="",0,VLOOKUP(D42,Datenblatt!$L$2:$M$30,2,FALSE)),IF(E42="ND12,5",2,0))))</f>
        <v>0</v>
      </c>
      <c r="AC42" s="214">
        <f t="shared" si="7"/>
        <v>0</v>
      </c>
      <c r="AD42" s="214">
        <f t="shared" si="8"/>
        <v>0</v>
      </c>
      <c r="AE42" s="214">
        <f t="shared" si="9"/>
        <v>0</v>
      </c>
      <c r="AF42" s="112">
        <f t="shared" si="10"/>
        <v>0</v>
      </c>
      <c r="AG42" s="112">
        <f t="shared" si="11"/>
        <v>0</v>
      </c>
      <c r="AH42" s="112">
        <f>IF(E42="",0,VLOOKUP(E42,Datenblatt!$E$2:$G$28,3,FALSE))</f>
        <v>0</v>
      </c>
    </row>
    <row r="43" spans="1:34" ht="13" customHeight="1">
      <c r="A43" s="89" t="str">
        <f>IF(ISERROR(VLOOKUP(C43,Datenblatt!$B$84:$B$97,1,FALSE)),"","Ft")</f>
        <v/>
      </c>
      <c r="B43" s="84">
        <f t="shared" si="0"/>
        <v>45534</v>
      </c>
      <c r="C43" s="87">
        <f>C42+1</f>
        <v>45534</v>
      </c>
      <c r="D43" s="67"/>
      <c r="E43" s="67"/>
      <c r="F43" s="68"/>
      <c r="G43" s="69"/>
      <c r="H43" s="68"/>
      <c r="I43" s="68"/>
      <c r="J43" s="99"/>
      <c r="K43" s="21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209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210" t="str">
        <f>IF(D43="","",IF(E42="ND",VLOOKUP(D43,Datenblatt!$A$2:$C$31,3,FALSE)-1,IF(E42="ND12,5",VLOOKUP(D43,Datenblatt!$A$2:$C$31,3,FALSE)-0.5,VLOOKUP(D43,Datenblatt!$A$2:$C$31,3,FALSE))))</f>
        <v/>
      </c>
      <c r="N43" s="211" t="str">
        <f t="shared" si="2"/>
        <v/>
      </c>
      <c r="O43" s="211" t="str">
        <f t="shared" si="3"/>
        <v/>
      </c>
      <c r="P43" s="186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103" t="str">
        <f>IF(D43="","",VLOOKUP(D43,Datenblatt!$A$2:$D$31,4,FALSE))</f>
        <v/>
      </c>
      <c r="R43" s="104" t="str">
        <f>IF(E43="","",VLOOKUP(E43,Datenblatt!$E$2:$G$28,2,FALSE))</f>
        <v/>
      </c>
      <c r="S43" s="107"/>
      <c r="T43" s="111">
        <f t="shared" si="5"/>
        <v>0</v>
      </c>
      <c r="U43" s="114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12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12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54">
        <f t="array" ref="X43">IF(T43=0,0,IF((AND((ROW(T43)=MATCH(TRUE,($T$1:$T$44)&gt;0,0)))),IF(W43&gt;=6,W43-6,0),IF(W43&gt;=2,2,W43)))</f>
        <v>0</v>
      </c>
      <c r="Y43" s="254">
        <f t="array" ref="Y43">IF(T42=0,0,(IF((AND((ROW(T42)=MATCH(TRUE,($T$1:$T$44)&gt;0,0)))),IF(W42&gt;=6,6,W42),IF(W42&gt;=2,W42-2,0))))</f>
        <v>0</v>
      </c>
      <c r="Z43" s="111" t="str">
        <f t="shared" si="6"/>
        <v/>
      </c>
      <c r="AA43" s="214">
        <f>IF(E42="ND",IF(ISERROR(MATCH(D43,Datenblatt!$L$2:$L$18,0)),3,2),IF(E42="ND12,5",IF(ISERROR(MATCH(D43,Datenblatt!$L$2:$L$18,0)),2.5,2),0))</f>
        <v>0</v>
      </c>
      <c r="AB43" s="214">
        <f>IF((IF(E43="ND",14-IF(D43="",0,VLOOKUP(D43,Datenblatt!$L$2:$M$30,2,FALSE)),IF(E43="ND12,5",2,0)))&lt;0,0,(IF(E43="ND",14-IF(D43="",0,VLOOKUP(D43,Datenblatt!$L$2:$M$30,2,FALSE)),IF(E43="ND12,5",2,0))))</f>
        <v>0</v>
      </c>
      <c r="AC43" s="214">
        <f t="shared" si="7"/>
        <v>0</v>
      </c>
      <c r="AD43" s="214">
        <f t="shared" si="8"/>
        <v>0</v>
      </c>
      <c r="AE43" s="214">
        <f t="shared" si="9"/>
        <v>0</v>
      </c>
      <c r="AF43" s="112">
        <f t="shared" si="10"/>
        <v>0</v>
      </c>
      <c r="AG43" s="112">
        <f t="shared" si="11"/>
        <v>0</v>
      </c>
      <c r="AH43" s="112">
        <f>IF(E43="",0,VLOOKUP(E43,Datenblatt!$E$2:$G$28,3,FALSE))</f>
        <v>0</v>
      </c>
    </row>
    <row r="44" spans="1:34" ht="13" customHeight="1">
      <c r="A44" s="89" t="str">
        <f>IF(ISERROR(VLOOKUP(C44,Datenblatt!$B$84:$B$97,1,FALSE)),"","Ft")</f>
        <v/>
      </c>
      <c r="B44" s="159">
        <f t="shared" si="0"/>
        <v>45535</v>
      </c>
      <c r="C44" s="160">
        <f>C43+1</f>
        <v>45535</v>
      </c>
      <c r="D44" s="67"/>
      <c r="E44" s="67"/>
      <c r="F44" s="68"/>
      <c r="G44" s="69"/>
      <c r="H44" s="68"/>
      <c r="I44" s="68"/>
      <c r="J44" s="99"/>
      <c r="K44" s="212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209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210" t="str">
        <f>IF(D44="","",IF(E43="ND",VLOOKUP(D44,Datenblatt!$A$2:$C$31,3,FALSE)-1,IF(E43="ND12,5",VLOOKUP(D44,Datenblatt!$A$2:$C$31,3,FALSE)-0.5,VLOOKUP(D44,Datenblatt!$A$2:$C$31,3,FALSE)-M45)))</f>
        <v/>
      </c>
      <c r="N44" s="211" t="str">
        <f t="shared" si="2"/>
        <v/>
      </c>
      <c r="O44" s="211" t="str">
        <f t="shared" si="3"/>
        <v/>
      </c>
      <c r="P44" s="186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103" t="str">
        <f>IF(D44="","",VLOOKUP(D44,Datenblatt!$A$2:$D$31,4,FALSE))</f>
        <v/>
      </c>
      <c r="R44" s="104" t="str">
        <f>IF(E44="","",VLOOKUP(E44,Datenblatt!$E$2:$G$28,2,FALSE))</f>
        <v/>
      </c>
      <c r="S44" s="107"/>
      <c r="T44" s="111">
        <f t="shared" si="5"/>
        <v>0</v>
      </c>
      <c r="U44" s="114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12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12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54">
        <f t="array" ref="X44">IF(T44=0,0,IF((AND((ROW(T44)=MATCH(TRUE,($T$1:$T$44)&gt;0,0)))),IF(W44&gt;=0,W44-0,0),IF(W44&gt;=2,2,W44)))</f>
        <v>0</v>
      </c>
      <c r="Y44" s="254">
        <f t="array" ref="Y44">IF(T43=0,0,(IF((AND((ROW(T43)=MATCH(TRUE,($T$1:$T$44)&gt;0,0)))),IF(W43&gt;=6,6,W43),IF(W43&gt;=2,W43-2,0))))</f>
        <v>0</v>
      </c>
      <c r="Z44" s="111" t="str">
        <f t="shared" si="6"/>
        <v/>
      </c>
      <c r="AA44" s="214">
        <f>IF(E43="ND",IF(ISERROR(MATCH(D44,Datenblatt!$L$2:$L$18,0)),3,2),IF(E43="ND12,5",IF(ISERROR(MATCH(D44,Datenblatt!$L$2:$L$18,0)),2.5,2),0))</f>
        <v>0</v>
      </c>
      <c r="AB44" s="214">
        <f>IF((IF(E44="ND",14-IF(D44="",0,VLOOKUP(D44,Datenblatt!$L$2:$M$30,2,FALSE)),IF(E44="ND12,5",2,0)))&lt;0,0,(IF(E44="ND",14-IF(D44="",0,VLOOKUP(D44,Datenblatt!$L$2:$M$30,2,FALSE)),IF(E44="ND12,5",2,0))))</f>
        <v>0</v>
      </c>
      <c r="AC44" s="214">
        <f t="shared" si="7"/>
        <v>0</v>
      </c>
      <c r="AD44" s="214">
        <f t="shared" si="8"/>
        <v>0</v>
      </c>
      <c r="AE44" s="214">
        <f t="shared" si="9"/>
        <v>0</v>
      </c>
      <c r="AF44" s="112">
        <f t="shared" si="10"/>
        <v>0</v>
      </c>
      <c r="AG44" s="112">
        <f t="shared" si="11"/>
        <v>0</v>
      </c>
      <c r="AH44" s="112">
        <f>IF(E44="",0,VLOOKUP(E44,Datenblatt!$E$2:$G$28,3,FALSE))</f>
        <v>0</v>
      </c>
    </row>
    <row r="45" spans="1:34" ht="13" customHeight="1" thickBot="1">
      <c r="A45" s="227" t="str">
        <f>IF(ISERROR(VLOOKUP(C45,Datenblatt!$B$84:$B$97,1,FALSE)),"","Ft")</f>
        <v/>
      </c>
      <c r="B45" s="153"/>
      <c r="C45" s="150"/>
      <c r="D45" s="150"/>
      <c r="E45" s="150"/>
      <c r="F45" s="150"/>
      <c r="G45" s="150"/>
      <c r="H45" s="150"/>
      <c r="I45" s="150"/>
      <c r="J45" s="154">
        <f>SUM(J14:J44)</f>
        <v>0</v>
      </c>
      <c r="K45" s="213">
        <f>SUM(K14:K44)</f>
        <v>0</v>
      </c>
      <c r="L45" s="172" t="str">
        <f>IF(D44="ND",9,IF(D44="ND12,5",8.5,"0"))</f>
        <v>0</v>
      </c>
      <c r="M45" s="172" t="str">
        <f>IF(D44="ND",9,IF(D44="ND12,5",8.5,"0"))</f>
        <v>0</v>
      </c>
      <c r="N45" s="221">
        <f t="shared" ref="N45:O45" si="12">SUM(N14:N44)</f>
        <v>0</v>
      </c>
      <c r="O45" s="221">
        <f t="shared" si="12"/>
        <v>0</v>
      </c>
      <c r="P45" s="197">
        <f>SUM(P14:P44)</f>
        <v>0</v>
      </c>
      <c r="Q45" s="173"/>
      <c r="R45" s="156"/>
      <c r="S45" s="157"/>
      <c r="T45" s="155"/>
      <c r="U45" s="115"/>
      <c r="V45" s="116"/>
      <c r="W45" s="116"/>
      <c r="X45" s="116"/>
      <c r="Y45" s="116"/>
      <c r="Z45" s="155"/>
      <c r="AA45" s="215"/>
      <c r="AB45" s="215"/>
      <c r="AC45" s="215"/>
      <c r="AD45" s="215"/>
      <c r="AE45" s="215"/>
      <c r="AF45" s="118"/>
      <c r="AG45" s="118"/>
    </row>
    <row r="46" spans="1:34" s="80" customFormat="1" ht="0.75" customHeight="1" thickBot="1">
      <c r="A46" s="470"/>
      <c r="B46" s="70"/>
      <c r="C46" s="71"/>
      <c r="D46" s="72"/>
      <c r="E46" s="102"/>
      <c r="F46" s="73"/>
      <c r="G46" s="74"/>
      <c r="H46" s="75"/>
      <c r="I46" s="74"/>
      <c r="J46" s="76"/>
      <c r="K46" s="94"/>
      <c r="L46" s="75"/>
      <c r="M46" s="77"/>
      <c r="N46" s="77"/>
      <c r="O46" s="78"/>
      <c r="P46" s="79"/>
      <c r="Q46" s="74"/>
      <c r="R46" s="70"/>
      <c r="T46" s="117"/>
      <c r="U46" s="117"/>
      <c r="V46" s="117"/>
      <c r="W46" s="117"/>
      <c r="X46" s="117"/>
      <c r="Y46" s="117"/>
      <c r="Z46" s="187"/>
      <c r="AA46" s="216"/>
      <c r="AB46" s="216"/>
      <c r="AC46" s="216"/>
      <c r="AD46" s="216"/>
      <c r="AE46" s="216"/>
      <c r="AF46" s="243"/>
      <c r="AG46" s="243"/>
      <c r="AH46" s="300"/>
    </row>
    <row r="47" spans="1:34" s="66" customFormat="1">
      <c r="A47" s="227"/>
      <c r="B47" s="168" t="s">
        <v>147</v>
      </c>
      <c r="C47" s="168"/>
      <c r="D47" s="59"/>
      <c r="E47" s="59"/>
      <c r="F47" s="56"/>
      <c r="G47" s="56"/>
      <c r="H47" s="56"/>
      <c r="I47" s="251"/>
      <c r="J47" s="251"/>
      <c r="K47" s="251"/>
      <c r="L47" s="542" t="s">
        <v>289</v>
      </c>
      <c r="M47" s="542"/>
      <c r="N47" s="542"/>
      <c r="O47" s="543"/>
      <c r="P47" s="201" t="s">
        <v>146</v>
      </c>
      <c r="Q47" s="348">
        <f>IF($P$47="ja",SUMPRODUCT((WEEKDAY($B$14:$B$44,2)=1)*2),0)</f>
        <v>0</v>
      </c>
      <c r="R47" s="158"/>
      <c r="S47" s="171"/>
      <c r="T47" s="118"/>
      <c r="U47" s="118"/>
      <c r="V47" s="118"/>
      <c r="W47" s="118"/>
      <c r="X47" s="118"/>
      <c r="Y47" s="118"/>
      <c r="Z47" s="188"/>
      <c r="AA47" s="217"/>
      <c r="AB47" s="217"/>
      <c r="AC47" s="217"/>
      <c r="AD47" s="217"/>
      <c r="AE47" s="217"/>
      <c r="AF47" s="118"/>
      <c r="AG47" s="118"/>
      <c r="AH47" s="301"/>
    </row>
    <row r="48" spans="1:34" s="66" customFormat="1">
      <c r="A48" s="227"/>
      <c r="B48" s="191" t="str">
        <f>"Verrechnung von Sonderzahlungen, Überstunden, Nachtgutstunden und Nachtdiensten erfolgt im Folgemonat"&amp;" "&amp;Start!$B$23</f>
        <v>Verrechnung von Sonderzahlungen, Überstunden, Nachtgutstunden und Nachtdiensten erfolgt im Folgemonat September</v>
      </c>
      <c r="C48" s="168"/>
      <c r="D48" s="59"/>
      <c r="E48" s="59"/>
      <c r="F48" s="56"/>
      <c r="G48" s="56"/>
      <c r="H48" s="82"/>
      <c r="I48" s="82"/>
      <c r="J48" s="83"/>
      <c r="K48" s="83"/>
      <c r="L48" s="538" t="s">
        <v>290</v>
      </c>
      <c r="M48" s="538"/>
      <c r="N48" s="538"/>
      <c r="O48" s="539"/>
      <c r="P48" s="204" t="s">
        <v>292</v>
      </c>
      <c r="Q48" s="347" t="str">
        <f>IF($P$48="Freizeit","       als Gutstunden abgerechnet","       im Folgemonat ausbezahlt")</f>
        <v xml:space="preserve">       als Gutstunden abgerechnet</v>
      </c>
      <c r="R48" s="203"/>
      <c r="S48" s="192"/>
      <c r="T48" s="118"/>
      <c r="U48" s="118"/>
      <c r="V48" s="118"/>
      <c r="W48" s="118"/>
      <c r="X48" s="118"/>
      <c r="Y48" s="118"/>
      <c r="Z48" s="188"/>
      <c r="AA48" s="217"/>
      <c r="AB48" s="217"/>
      <c r="AC48" s="217"/>
      <c r="AD48" s="217"/>
      <c r="AE48" s="217"/>
      <c r="AF48" s="118"/>
      <c r="AG48" s="118"/>
      <c r="AH48" s="301"/>
    </row>
    <row r="49" spans="1:34" s="66" customFormat="1" ht="15" thickBot="1">
      <c r="A49" s="227"/>
      <c r="B49" s="168"/>
      <c r="C49" s="168"/>
      <c r="D49" s="59"/>
      <c r="E49" s="59"/>
      <c r="F49" s="56"/>
      <c r="G49" s="56"/>
      <c r="H49" s="82"/>
      <c r="I49" s="82"/>
      <c r="J49" s="83"/>
      <c r="K49" s="83"/>
      <c r="L49" s="88"/>
      <c r="M49" s="88"/>
      <c r="N49" s="59"/>
      <c r="O49" s="59"/>
      <c r="P49" s="59"/>
      <c r="S49" s="56"/>
      <c r="T49" s="118"/>
      <c r="U49" s="118"/>
      <c r="V49" s="118"/>
      <c r="W49" s="118"/>
      <c r="X49" s="118"/>
      <c r="Y49" s="118"/>
      <c r="Z49" s="188"/>
      <c r="AA49" s="217"/>
      <c r="AB49" s="217"/>
      <c r="AC49" s="217"/>
      <c r="AD49" s="217"/>
      <c r="AE49" s="217"/>
      <c r="AF49" s="118"/>
      <c r="AG49" s="118"/>
      <c r="AH49" s="301"/>
    </row>
    <row r="50" spans="1:34" s="59" customFormat="1" ht="13" customHeight="1">
      <c r="A50" s="471"/>
      <c r="B50" s="452" t="s">
        <v>248</v>
      </c>
      <c r="C50" s="608" t="s">
        <v>249</v>
      </c>
      <c r="D50" s="608"/>
      <c r="E50" s="453" t="s">
        <v>412</v>
      </c>
      <c r="F50" s="272"/>
      <c r="G50" s="317" t="s">
        <v>83</v>
      </c>
      <c r="H50" s="318"/>
      <c r="I50" s="322"/>
      <c r="J50" s="322"/>
      <c r="K50" s="322"/>
      <c r="L50" s="319">
        <f>$Q$6</f>
        <v>5365.31</v>
      </c>
      <c r="N50" s="612" t="str">
        <f>"Monatsprofil"&amp;" "&amp;Start!$B$22</f>
        <v>Monatsprofil August</v>
      </c>
      <c r="O50" s="613"/>
      <c r="P50" s="614"/>
      <c r="T50" s="242"/>
      <c r="U50" s="242"/>
      <c r="V50" s="242"/>
      <c r="W50" s="242"/>
      <c r="X50" s="242"/>
      <c r="Y50" s="242"/>
      <c r="Z50" s="188"/>
      <c r="AA50" s="217"/>
      <c r="AB50" s="217"/>
      <c r="AC50" s="217"/>
      <c r="AD50" s="217"/>
      <c r="AE50" s="217"/>
      <c r="AF50" s="242"/>
      <c r="AG50" s="242"/>
      <c r="AH50" s="302"/>
    </row>
    <row r="51" spans="1:34" s="89" customFormat="1" ht="13" customHeight="1">
      <c r="A51" s="227"/>
      <c r="B51" s="355">
        <f>COUNTIF($D$14:$E$44,"U")-COUNTIFS($D$14:$D$44,"U",$E$14:$E$44,"K")-COUNTIFS($D$14:$D$44,"U",$E$14:$E$44,"PK")</f>
        <v>0</v>
      </c>
      <c r="C51" s="454" t="s">
        <v>18</v>
      </c>
      <c r="D51" s="455">
        <f>SUMIFS($P$14:$P$44,$D$14:$D$44,"U")+SUMIFS($P$14:$P$44,$E$14:$E$44,"U")</f>
        <v>0</v>
      </c>
      <c r="E51" s="456"/>
      <c r="F51" s="316"/>
      <c r="G51" s="341" t="s">
        <v>354</v>
      </c>
      <c r="H51" s="342"/>
      <c r="I51" s="343"/>
      <c r="J51" s="343"/>
      <c r="K51" s="343"/>
      <c r="L51" s="344">
        <f>IF(OR(Start!$D$8=Gehalt!$K$37,Start!$D$8=Gehalt!$K$39,Start!$D$8=Gehalt!$K$41),Gehalt!$C$29,0)</f>
        <v>0</v>
      </c>
      <c r="N51" s="615"/>
      <c r="O51" s="616"/>
      <c r="P51" s="617"/>
      <c r="T51" s="278" t="s">
        <v>398</v>
      </c>
      <c r="U51" s="119">
        <f>SUMPRODUCT(($U$14:$U$44)*(ISNUMBER(FIND("Ft",$A$14:$A$44))))+SUMPRODUCT((($U$14:$U$44)*1)*(WEEKDAY($B$14:$B$44,2)=7))-SUMPRODUCT((($U$14:$U$44)*1)*(WEEKDAY($B$14:$B$44,2)=7)*(ISNUMBER(FIND("Ft",$A$14:$A$44))))</f>
        <v>0</v>
      </c>
      <c r="V51" s="119">
        <f>SUMPRODUCT(($V$14:$V$44)*(ISNUMBER(FIND("Ft",$A$14:$A$44))))+SUMPRODUCT((($V$14:$V$44)*1)*(WEEKDAY($B$14:$B$44,2)=7))-SUMPRODUCT((($V$14:$V$44)*1)*(WEEKDAY($B$14:$B$44,2)=7)*(ISNUMBER(FIND("Ft",$A$14:$A$44))))</f>
        <v>0</v>
      </c>
      <c r="W51" s="119">
        <f>SUM($W$14:$W$44)</f>
        <v>0</v>
      </c>
      <c r="X51" s="255"/>
      <c r="Y51" s="256"/>
      <c r="Z51" s="278" t="s">
        <v>398</v>
      </c>
      <c r="AA51" s="214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14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14">
        <f>SUM($AC$14:$AC$44)</f>
        <v>0</v>
      </c>
      <c r="AD51" s="214">
        <f>SUM($AD$14:$AD$44)</f>
        <v>0</v>
      </c>
      <c r="AE51" s="217"/>
      <c r="AF51" s="188"/>
      <c r="AG51" s="278" t="s">
        <v>398</v>
      </c>
      <c r="AH51" s="214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1:34" s="89" customFormat="1" ht="13" customHeight="1">
      <c r="A52" s="227"/>
      <c r="B52" s="355">
        <f>COUNTIF($D$14:$E$44,"ZA")-COUNTIFS($D$14:$D$44,"ZA",$E$14:$E$44,"K")-COUNTIFS($D$14:$D$44,"ZA",$E$14:$E$44,"PK")</f>
        <v>0</v>
      </c>
      <c r="C52" s="454" t="s">
        <v>21</v>
      </c>
      <c r="D52" s="457">
        <f>SUMIFS($P$14:$P$44,$D$14:$D$44,"ZA")+SUMIFS($P$14:$P$44,$E$14:$E$44,"ZA")-$J$45</f>
        <v>0</v>
      </c>
      <c r="E52" s="458">
        <f>IF($P$48="Freizeit",SUM($N$45*1.5,$O$45*2),0)+$J$54*1.5</f>
        <v>0</v>
      </c>
      <c r="F52" s="272"/>
      <c r="G52" s="323" t="str">
        <f>"9545 Nachtdienstpauschale Gesamt ("&amp;""&amp;Gehalt!$J$25&amp;""&amp;"€/h)"</f>
        <v>9545 Nachtdienstpauschale Gesamt (29,44€/h)</v>
      </c>
      <c r="H52" s="151"/>
      <c r="I52" s="151"/>
      <c r="J52" s="151"/>
      <c r="K52" s="264">
        <f>SUM($AF$14:$AG$44)</f>
        <v>0</v>
      </c>
      <c r="L52" s="226">
        <f>$K$52*Gehalt!$J$25</f>
        <v>0</v>
      </c>
      <c r="N52" s="540" t="s">
        <v>237</v>
      </c>
      <c r="O52" s="541"/>
      <c r="P52" s="352">
        <f>VLOOKUP($B$8,Datenblatt!$A$100:$I$112,2,FALSE)</f>
        <v>31</v>
      </c>
      <c r="T52" s="279" t="s">
        <v>104</v>
      </c>
      <c r="U52" s="269">
        <f>SUM($U$14:$U$44)-$U$51</f>
        <v>0</v>
      </c>
      <c r="V52" s="269">
        <f>SUM($V$14:$V$44)-$V$51</f>
        <v>0</v>
      </c>
      <c r="W52" s="257"/>
      <c r="X52" s="265"/>
      <c r="Y52" s="256"/>
      <c r="Z52" s="280" t="s">
        <v>104</v>
      </c>
      <c r="AA52" s="214">
        <f>SUM($AA$14:$AA$44)-$AA$51</f>
        <v>0</v>
      </c>
      <c r="AB52" s="214">
        <f>SUM($AB$14:$AB$44)-$AB$51</f>
        <v>0</v>
      </c>
      <c r="AC52" s="260"/>
      <c r="AD52" s="261"/>
      <c r="AE52" s="217"/>
      <c r="AF52" s="188"/>
      <c r="AG52" s="280" t="s">
        <v>104</v>
      </c>
      <c r="AH52" s="214">
        <f>SUM($AH$14:$AH$44)-$AH$51</f>
        <v>0</v>
      </c>
    </row>
    <row r="53" spans="1:34" s="89" customFormat="1" ht="13" customHeight="1">
      <c r="A53" s="227"/>
      <c r="B53" s="355">
        <f>COUNTIF($D$14:$E$44,"RG")-COUNTIFS($D$14:$D$44,"U",$E$14:$E$44,"RG")-COUNTIFS($D$14:$D$44,"RG",$E$14:$E$44,"PK")</f>
        <v>0</v>
      </c>
      <c r="C53" s="359" t="s">
        <v>132</v>
      </c>
      <c r="D53" s="455">
        <f>SUMIFS($P$14:$P$44,$D$14:$D$44,"RG")+SUMIFS($P$14:$P$44,$E$14:$E$44,"RG")</f>
        <v>0</v>
      </c>
      <c r="E53" s="459">
        <f>$Q$47</f>
        <v>0</v>
      </c>
      <c r="G53" s="323" t="str">
        <f>"9547 Sonn- und Feiertagszulage ("&amp;""&amp;Gehalt!$J$26&amp;""&amp;"€/h)"</f>
        <v>9547 Sonn- und Feiertagszulage (18,5€/h)</v>
      </c>
      <c r="H53" s="151"/>
      <c r="I53" s="151"/>
      <c r="J53" s="151"/>
      <c r="K53" s="22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26">
        <f>$K$53*Gehalt!$J$26</f>
        <v>0</v>
      </c>
      <c r="N53" s="540" t="s">
        <v>238</v>
      </c>
      <c r="O53" s="541"/>
      <c r="P53" s="352">
        <f>VLOOKUP($B$8,Datenblatt!$A$100:$I$112,3,FALSE)</f>
        <v>1</v>
      </c>
      <c r="T53" s="277" t="s">
        <v>399</v>
      </c>
      <c r="U53" s="112">
        <f>SUMPRODUCT(($U$14:$U$44)*(ISNUMBER(FIND("Ft",$A$14:$A$44))))+SUMPRODUCT((($U$14:$U$44)*1)*(WEEKDAY($B$14:$B$44,2)=7))-SUMPRODUCT((($U$14:$U$44)*1)*(WEEKDAY($B$14:$B$44,2)=7)*(ISNUMBER(FIND("Ft",$A$14:$A$44))))</f>
        <v>0</v>
      </c>
      <c r="V53" s="112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270"/>
      <c r="X53" s="112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12">
        <f>SUMPRODUCT(($Y$14:$Y$44)*(ISNUMBER(FIND("Ft",$A$14:$A$44))))+SUMPRODUCT((($Y$14:$Y$44)*1)*(WEEKDAY($B$14:$B$44,2)=7))-SUMPRODUCT((($Y$14:$Y$44)*1)*(WEEKDAY($B$14:$B$44,2)=7)*(ISNUMBER(FIND("Ft",$A$14:$A$44))))</f>
        <v>0</v>
      </c>
      <c r="Z53" s="258"/>
      <c r="AA53" s="258"/>
      <c r="AB53" s="258"/>
      <c r="AC53" s="259"/>
      <c r="AD53" s="259"/>
      <c r="AE53" s="188"/>
      <c r="AF53" s="188"/>
      <c r="AG53" s="188"/>
      <c r="AH53" s="302"/>
    </row>
    <row r="54" spans="1:34" s="89" customFormat="1" ht="13" customHeight="1">
      <c r="A54" s="227"/>
      <c r="B54" s="355">
        <f>COUNTIF($D$14:$E$44,"NDG")-COUNTIFS($D$14:$D$44,"NDG",$E$14:$E$44,"K")-COUNTIFS($D$14:$D$44,"NDG",$E$14:$E$44,"PK")</f>
        <v>0</v>
      </c>
      <c r="C54" s="359" t="s">
        <v>131</v>
      </c>
      <c r="D54" s="455">
        <f>SUMIFS($P$14:$P$44,$D$14:$D$44,"NDG")+SUMIFS($P$14:$P$44,$E$14:$E$44,"NDG")</f>
        <v>0</v>
      </c>
      <c r="E54" s="459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609" t="s">
        <v>295</v>
      </c>
      <c r="H54" s="610"/>
      <c r="I54" s="611"/>
      <c r="J54" s="390">
        <v>0</v>
      </c>
      <c r="K54" s="225">
        <f>IF($P$48="finanziell",SUM($L$62),0)+$L$66+$L$70-$J$54</f>
        <v>0</v>
      </c>
      <c r="L54" s="226">
        <f>$K$54*$L$60</f>
        <v>0</v>
      </c>
      <c r="M54" s="56"/>
      <c r="N54" s="540" t="s">
        <v>239</v>
      </c>
      <c r="O54" s="541"/>
      <c r="P54" s="352">
        <f>VLOOKUP($B$8,Datenblatt!$A$100:$I$112,4,FALSE)</f>
        <v>9</v>
      </c>
      <c r="Q54" s="56"/>
      <c r="T54" s="242"/>
      <c r="U54" s="242"/>
      <c r="V54" s="242"/>
      <c r="W54" s="188"/>
      <c r="X54" s="188"/>
      <c r="Y54" s="188"/>
      <c r="Z54" s="242"/>
      <c r="AA54" s="242"/>
      <c r="AB54" s="242"/>
      <c r="AC54" s="188"/>
      <c r="AD54" s="188"/>
      <c r="AE54" s="188"/>
      <c r="AF54" s="188"/>
      <c r="AG54" s="188"/>
      <c r="AH54" s="302"/>
    </row>
    <row r="55" spans="1:34" s="89" customFormat="1" ht="13" customHeight="1">
      <c r="A55" s="227"/>
      <c r="B55" s="460"/>
      <c r="C55" s="359" t="s">
        <v>170</v>
      </c>
      <c r="D55" s="455">
        <f>SUMIFS($M$14:$M$44,$D$14:$D$44,"U")</f>
        <v>0</v>
      </c>
      <c r="E55" s="456"/>
      <c r="G55" s="323" t="s">
        <v>227</v>
      </c>
      <c r="H55" s="151"/>
      <c r="I55" s="151"/>
      <c r="J55" s="151"/>
      <c r="K55" s="225">
        <f>IF($P$48="finanziell",SUM($L$63),0)+$L$71+$L$67</f>
        <v>0</v>
      </c>
      <c r="L55" s="226">
        <f>$K$55*$L$61</f>
        <v>0</v>
      </c>
      <c r="M55" s="59"/>
      <c r="N55" s="540" t="s">
        <v>240</v>
      </c>
      <c r="O55" s="541"/>
      <c r="P55" s="352">
        <f>VLOOKUP($B$8,Datenblatt!$A$100:$I$112,5,FALSE)</f>
        <v>21</v>
      </c>
      <c r="T55" s="242"/>
      <c r="U55" s="242"/>
      <c r="V55" s="242"/>
      <c r="W55" s="188"/>
      <c r="X55" s="188"/>
      <c r="Y55" s="188"/>
      <c r="Z55" s="242"/>
      <c r="AA55" s="242"/>
      <c r="AB55" s="242"/>
      <c r="AC55" s="188"/>
      <c r="AD55" s="188"/>
      <c r="AE55" s="188"/>
      <c r="AF55" s="188"/>
      <c r="AG55" s="188"/>
      <c r="AH55" s="302"/>
    </row>
    <row r="56" spans="1:34" s="89" customFormat="1" ht="13" customHeight="1">
      <c r="A56" s="227"/>
      <c r="B56" s="355">
        <f>COUNTIF($D$14:$E$44,"SU")-COUNTIFS($D$14:$D$44,"SU",$E$14:$E$44,"K")-COUNTIFS($D$14:$D$44,"SU",$E$14:$E$44,"PK")</f>
        <v>0</v>
      </c>
      <c r="C56" s="359" t="s">
        <v>172</v>
      </c>
      <c r="D56" s="455">
        <f>SUMIFS($M$14:$M$44,$D$14:$D$44,"SU")</f>
        <v>0</v>
      </c>
      <c r="E56" s="456"/>
      <c r="G56" s="323" t="s">
        <v>285</v>
      </c>
      <c r="H56" s="151"/>
      <c r="I56" s="151"/>
      <c r="J56" s="151"/>
      <c r="K56" s="394">
        <f ca="1">IF(Juli!$P$63-SUM(Start!$E$17:$E$22)*2&lt;=0,0,Juli!$P$63-SUM(Start!$E$17:$E$22)*2)</f>
        <v>0</v>
      </c>
      <c r="L56" s="226">
        <f ca="1">$K$56*(ROUNDDOWN((($Q$6-35)/173*1),2))</f>
        <v>0</v>
      </c>
      <c r="N56" s="540" t="s">
        <v>241</v>
      </c>
      <c r="O56" s="541"/>
      <c r="P56" s="352">
        <f>VLOOKUP($B$8,Datenblatt!$A$100:$I$112,7,FALSE)</f>
        <v>22</v>
      </c>
      <c r="T56" s="242"/>
      <c r="U56" s="242"/>
      <c r="V56" s="242"/>
      <c r="W56" s="188"/>
      <c r="X56" s="188"/>
      <c r="Y56" s="188"/>
      <c r="Z56" s="242"/>
      <c r="AA56" s="242"/>
      <c r="AB56" s="242"/>
      <c r="AC56" s="188"/>
      <c r="AD56" s="188"/>
      <c r="AE56" s="188"/>
      <c r="AF56" s="188"/>
      <c r="AG56" s="188"/>
      <c r="AH56" s="302"/>
    </row>
    <row r="57" spans="1:34" s="89" customFormat="1" ht="13" customHeight="1">
      <c r="A57" s="227"/>
      <c r="B57" s="355">
        <f>COUNTIF($D$14:$E$44,"PK")</f>
        <v>0</v>
      </c>
      <c r="C57" s="359" t="s">
        <v>171</v>
      </c>
      <c r="D57" s="455">
        <f>SUMIFS($M$14:$M$44,$D$14:$D$44,"PK")</f>
        <v>0</v>
      </c>
      <c r="E57" s="456"/>
      <c r="G57" s="391" t="s">
        <v>297</v>
      </c>
      <c r="H57" s="392"/>
      <c r="I57" s="392"/>
      <c r="J57" s="151"/>
      <c r="K57" s="225">
        <f>IF(OR(Start!$D$8=Gehalt!$K$37,Start!$D$8=Gehalt!$K$39,Start!$D$8=Gehalt!$K$41),SUMIFS($M$14:$M$44,$Q$14:$Q$44,"=Tagdienst*",$E$14:$E$44,"&lt;&gt;*")+SUMIFS($AH$14:$AH$44,$R$14:$R$44,"=Tagdienst*"),0)</f>
        <v>0</v>
      </c>
      <c r="L57" s="226">
        <f>$K$57*Gehalt!$C$28</f>
        <v>0</v>
      </c>
      <c r="N57" s="540" t="s">
        <v>236</v>
      </c>
      <c r="O57" s="541"/>
      <c r="P57" s="352">
        <f>VLOOKUP($B$8,Datenblatt!$A$100:$I$112,6,FALSE)</f>
        <v>168</v>
      </c>
      <c r="T57" s="242"/>
      <c r="U57" s="242"/>
      <c r="V57" s="242"/>
      <c r="W57" s="188"/>
      <c r="X57" s="188"/>
      <c r="Y57" s="188"/>
      <c r="Z57" s="242"/>
      <c r="AA57" s="242"/>
      <c r="AB57" s="242"/>
      <c r="AC57" s="188"/>
      <c r="AD57" s="188"/>
      <c r="AE57" s="188"/>
      <c r="AF57" s="188"/>
      <c r="AG57" s="188"/>
      <c r="AH57" s="302"/>
    </row>
    <row r="58" spans="1:34" s="89" customFormat="1" ht="13" customHeight="1">
      <c r="A58" s="227"/>
      <c r="B58" s="355">
        <f>COUNTIF($D$14:$E$44,"K")+COUNTIF($D$14:$E$44,"KA")</f>
        <v>0</v>
      </c>
      <c r="C58" s="359" t="s">
        <v>418</v>
      </c>
      <c r="D58" s="455">
        <f>SUMIFS($M$14:$M$44,$D$14:$D$44,"K")+SUMIFS($M$14:$M$44,$D$14:$D$44,"KA")</f>
        <v>0</v>
      </c>
      <c r="E58" s="456"/>
      <c r="G58" s="323" t="s">
        <v>296</v>
      </c>
      <c r="H58" s="151"/>
      <c r="I58" s="151"/>
      <c r="J58" s="393" t="s">
        <v>146</v>
      </c>
      <c r="K58" s="225"/>
      <c r="L58" s="226">
        <f>IF($J$58="ja",Gehalt!$C$27,0)</f>
        <v>0</v>
      </c>
      <c r="N58" s="618" t="str">
        <f>"Stundenkonto Monatsende"&amp;" "&amp;Start!$B$22</f>
        <v>Stundenkonto Monatsende August</v>
      </c>
      <c r="O58" s="619"/>
      <c r="P58" s="620"/>
      <c r="T58" s="242"/>
      <c r="U58" s="242"/>
      <c r="V58" s="242"/>
      <c r="W58" s="188"/>
      <c r="X58" s="188"/>
      <c r="Y58" s="188"/>
      <c r="Z58" s="242"/>
      <c r="AA58" s="242"/>
      <c r="AB58" s="242"/>
      <c r="AC58" s="188"/>
      <c r="AD58" s="188"/>
      <c r="AE58" s="188"/>
      <c r="AF58" s="188"/>
      <c r="AG58" s="188"/>
      <c r="AH58" s="302"/>
    </row>
    <row r="59" spans="1:34" s="89" customFormat="1" ht="13" customHeight="1" thickBot="1">
      <c r="A59" s="227"/>
      <c r="B59" s="460"/>
      <c r="C59" s="359" t="s">
        <v>19</v>
      </c>
      <c r="D59" s="455">
        <f>COUNTIF($L$14:$L$44,"n.b.")</f>
        <v>0</v>
      </c>
      <c r="E59" s="456"/>
      <c r="G59" s="229" t="s">
        <v>362</v>
      </c>
      <c r="H59" s="230"/>
      <c r="I59" s="230"/>
      <c r="J59" s="230"/>
      <c r="K59" s="338"/>
      <c r="L59" s="228">
        <f ca="1">SUM(L52:L57)*12%</f>
        <v>0</v>
      </c>
      <c r="N59" s="615"/>
      <c r="O59" s="616"/>
      <c r="P59" s="617"/>
      <c r="T59" s="242"/>
      <c r="U59" s="188"/>
      <c r="V59" s="188"/>
      <c r="W59" s="188"/>
      <c r="X59" s="188"/>
      <c r="Y59" s="188"/>
      <c r="Z59" s="242"/>
      <c r="AA59" s="188"/>
      <c r="AB59" s="188"/>
      <c r="AC59" s="188"/>
      <c r="AD59" s="188"/>
      <c r="AE59" s="188"/>
      <c r="AF59" s="188"/>
      <c r="AG59" s="188"/>
      <c r="AH59" s="302"/>
    </row>
    <row r="60" spans="1:34" s="89" customFormat="1" ht="13" customHeight="1">
      <c r="A60" s="227"/>
      <c r="B60" s="355">
        <f>COUNTIF($D$14:$E$44,"DV")</f>
        <v>0</v>
      </c>
      <c r="C60" s="359" t="s">
        <v>111</v>
      </c>
      <c r="D60" s="455">
        <f>SUMIFS($P$14:$P$44,$D$14:$D$44,"DV")+SUMIFS($P$14:$P$44,$E$14:$E$44,"DV")</f>
        <v>0</v>
      </c>
      <c r="E60" s="456"/>
      <c r="G60" s="238" t="s">
        <v>298</v>
      </c>
      <c r="H60" s="239"/>
      <c r="I60" s="240"/>
      <c r="J60" s="240"/>
      <c r="K60" s="240"/>
      <c r="L60" s="241">
        <f>IF($Q$6="",0,ROUNDDOWN((($Q$6-35)/173*1.5),2))</f>
        <v>46.21</v>
      </c>
      <c r="N60" s="540" t="s">
        <v>234</v>
      </c>
      <c r="O60" s="541"/>
      <c r="P60" s="352">
        <f>Start!$C$30+SUM(Jänner:August!$D$51)</f>
        <v>0</v>
      </c>
      <c r="T60" s="244"/>
      <c r="U60" s="188"/>
      <c r="V60" s="188"/>
      <c r="W60" s="188"/>
      <c r="X60" s="188"/>
      <c r="Y60" s="188"/>
      <c r="Z60" s="244"/>
      <c r="AA60" s="188"/>
      <c r="AB60" s="188"/>
      <c r="AC60" s="188"/>
      <c r="AD60" s="188"/>
      <c r="AE60" s="188"/>
      <c r="AF60" s="188"/>
      <c r="AG60" s="188"/>
      <c r="AH60" s="302"/>
    </row>
    <row r="61" spans="1:34" s="89" customFormat="1" ht="13" customHeight="1">
      <c r="A61" s="227"/>
      <c r="B61" s="355">
        <f>COUNTIF($D$14:$E$44,"WR")</f>
        <v>0</v>
      </c>
      <c r="C61" s="359" t="s">
        <v>126</v>
      </c>
      <c r="D61" s="466"/>
      <c r="E61" s="456"/>
      <c r="G61" s="360" t="s">
        <v>400</v>
      </c>
      <c r="H61" s="358"/>
      <c r="I61" s="357"/>
      <c r="J61" s="357"/>
      <c r="K61" s="357"/>
      <c r="L61" s="356">
        <f>IF($Q$6="",0,ROUNDDOWN((($Q$6-35)/173*2),2))</f>
        <v>61.62</v>
      </c>
      <c r="N61" s="540" t="s">
        <v>235</v>
      </c>
      <c r="O61" s="541"/>
      <c r="P61" s="353">
        <f>Start!$C$31+SUM(Jänner:August!$D$52)+SUM(Jänner:August!$E$52)</f>
        <v>0</v>
      </c>
      <c r="T61" s="244"/>
      <c r="U61" s="188"/>
      <c r="V61" s="188"/>
      <c r="W61" s="188"/>
      <c r="X61" s="188"/>
      <c r="Y61" s="188"/>
      <c r="Z61" s="244"/>
      <c r="AA61" s="188"/>
      <c r="AB61" s="188"/>
      <c r="AC61" s="188"/>
      <c r="AD61" s="188"/>
      <c r="AE61" s="188"/>
      <c r="AF61" s="188"/>
      <c r="AG61" s="188"/>
      <c r="AH61" s="302"/>
    </row>
    <row r="62" spans="1:34" s="59" customFormat="1" ht="13" customHeight="1">
      <c r="A62" s="471"/>
      <c r="B62" s="478"/>
      <c r="C62" s="478"/>
      <c r="D62" s="478"/>
      <c r="E62" s="478"/>
      <c r="G62" s="374" t="s">
        <v>392</v>
      </c>
      <c r="H62" s="375"/>
      <c r="I62" s="125"/>
      <c r="J62" s="125"/>
      <c r="K62" s="125"/>
      <c r="L62" s="376">
        <f>SUM($N$14:$N$44)</f>
        <v>0</v>
      </c>
      <c r="M62" s="89"/>
      <c r="N62" s="540" t="s">
        <v>148</v>
      </c>
      <c r="O62" s="541"/>
      <c r="P62" s="352">
        <f>Start!$C$32+SUM(Jänner:August!$D$53)+SUM(Jänner:August!$E$53)</f>
        <v>0</v>
      </c>
      <c r="Q62" s="89"/>
      <c r="T62" s="244"/>
      <c r="U62" s="242"/>
      <c r="V62" s="242"/>
      <c r="W62" s="242"/>
      <c r="X62" s="242"/>
      <c r="Y62" s="242"/>
      <c r="Z62" s="244"/>
      <c r="AA62" s="242"/>
      <c r="AB62" s="242"/>
      <c r="AC62" s="242"/>
      <c r="AD62" s="242"/>
      <c r="AE62" s="242"/>
      <c r="AF62" s="242"/>
      <c r="AG62" s="242"/>
      <c r="AH62" s="302"/>
    </row>
    <row r="63" spans="1:34" s="59" customFormat="1" ht="13" customHeight="1">
      <c r="A63" s="471"/>
      <c r="G63" s="374" t="s">
        <v>102</v>
      </c>
      <c r="H63" s="375"/>
      <c r="I63" s="125"/>
      <c r="J63" s="125"/>
      <c r="K63" s="125"/>
      <c r="L63" s="376">
        <f>SUM($O$14:$O$44)</f>
        <v>0</v>
      </c>
      <c r="M63" s="89"/>
      <c r="N63" s="544" t="s">
        <v>166</v>
      </c>
      <c r="O63" s="545"/>
      <c r="P63" s="354">
        <f ca="1">Start!$C$33+SUM(Jänner:August!$D$54)+SUM(Jänner:August!$E$54)-SUM(Jänner:August!$K$56)</f>
        <v>0</v>
      </c>
      <c r="Q63" s="89"/>
      <c r="T63" s="244"/>
      <c r="U63" s="242"/>
      <c r="V63" s="242"/>
      <c r="W63" s="242"/>
      <c r="X63" s="242"/>
      <c r="Y63" s="242"/>
      <c r="Z63" s="244"/>
      <c r="AA63" s="242"/>
      <c r="AB63" s="242"/>
      <c r="AC63" s="242"/>
      <c r="AD63" s="242"/>
      <c r="AE63" s="242"/>
      <c r="AF63" s="242"/>
      <c r="AG63" s="242"/>
      <c r="AH63" s="302"/>
    </row>
    <row r="64" spans="1:34" s="59" customFormat="1" ht="13" customHeight="1">
      <c r="A64" s="471"/>
      <c r="E64" s="140"/>
      <c r="G64" s="374" t="s">
        <v>98</v>
      </c>
      <c r="H64" s="375"/>
      <c r="I64" s="125"/>
      <c r="J64" s="125"/>
      <c r="K64" s="125"/>
      <c r="L64" s="377">
        <f>$L$62*$L$60</f>
        <v>0</v>
      </c>
      <c r="M64" s="89"/>
      <c r="N64" s="546" t="str">
        <f>"Bisheriger Verbrauch"&amp;" "&amp;Start!$D$2</f>
        <v>Bisheriger Verbrauch 2024</v>
      </c>
      <c r="O64" s="547"/>
      <c r="P64" s="548"/>
      <c r="Q64" s="89"/>
      <c r="T64" s="244"/>
      <c r="U64" s="242"/>
      <c r="V64" s="242"/>
      <c r="W64" s="242"/>
      <c r="X64" s="242"/>
      <c r="Y64" s="242"/>
      <c r="Z64" s="244"/>
      <c r="AA64" s="242"/>
      <c r="AB64" s="242"/>
      <c r="AC64" s="242"/>
      <c r="AD64" s="242"/>
      <c r="AE64" s="242"/>
      <c r="AF64" s="242"/>
      <c r="AG64" s="242"/>
      <c r="AH64" s="302"/>
    </row>
    <row r="65" spans="1:34" s="59" customFormat="1" ht="13" customHeight="1">
      <c r="A65" s="471"/>
      <c r="E65" s="140"/>
      <c r="G65" s="267" t="s">
        <v>99</v>
      </c>
      <c r="H65" s="268"/>
      <c r="I65" s="378"/>
      <c r="J65" s="378"/>
      <c r="K65" s="378"/>
      <c r="L65" s="379">
        <f>$L$63*$L$61</f>
        <v>0</v>
      </c>
      <c r="M65" s="89"/>
      <c r="N65" s="549"/>
      <c r="O65" s="550"/>
      <c r="P65" s="551"/>
      <c r="Q65" s="89"/>
      <c r="T65" s="244"/>
      <c r="U65" s="242"/>
      <c r="V65" s="242"/>
      <c r="W65" s="242"/>
      <c r="X65" s="242"/>
      <c r="Y65" s="242"/>
      <c r="Z65" s="244"/>
      <c r="AA65" s="242"/>
      <c r="AB65" s="242"/>
      <c r="AC65" s="242"/>
      <c r="AD65" s="242"/>
      <c r="AE65" s="242"/>
      <c r="AF65" s="242"/>
      <c r="AG65" s="242"/>
      <c r="AH65" s="302"/>
    </row>
    <row r="66" spans="1:34" s="59" customFormat="1" ht="13" customHeight="1">
      <c r="A66" s="471"/>
      <c r="E66" s="140"/>
      <c r="G66" s="380" t="s">
        <v>228</v>
      </c>
      <c r="H66" s="381"/>
      <c r="I66" s="382"/>
      <c r="J66" s="382"/>
      <c r="K66" s="382"/>
      <c r="L66" s="376">
        <f>SUM($U$52:$V$52)+$AH$52</f>
        <v>0</v>
      </c>
      <c r="N66" s="533" t="s">
        <v>234</v>
      </c>
      <c r="O66" s="534"/>
      <c r="P66" s="398">
        <f>SUM(Jänner:August!$D$51)</f>
        <v>0</v>
      </c>
      <c r="T66" s="244"/>
      <c r="U66" s="242"/>
      <c r="V66" s="242"/>
      <c r="W66" s="242"/>
      <c r="X66" s="242"/>
      <c r="Y66" s="242"/>
      <c r="Z66" s="244"/>
      <c r="AA66" s="242"/>
      <c r="AB66" s="242"/>
      <c r="AC66" s="242"/>
      <c r="AD66" s="242"/>
      <c r="AE66" s="242"/>
      <c r="AF66" s="242"/>
      <c r="AG66" s="242"/>
      <c r="AH66" s="302"/>
    </row>
    <row r="67" spans="1:34" s="59" customFormat="1" ht="13" customHeight="1">
      <c r="A67" s="471"/>
      <c r="D67" s="140"/>
      <c r="E67" s="140"/>
      <c r="G67" s="380" t="s">
        <v>103</v>
      </c>
      <c r="H67" s="381"/>
      <c r="I67" s="382"/>
      <c r="J67" s="382"/>
      <c r="K67" s="382"/>
      <c r="L67" s="376">
        <f>SUM($U$51:$W$51)+$AH$51</f>
        <v>0</v>
      </c>
      <c r="N67" s="533" t="s">
        <v>235</v>
      </c>
      <c r="O67" s="534"/>
      <c r="P67" s="398">
        <f>SUM(Jänner:August!$D$52)</f>
        <v>0</v>
      </c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42"/>
      <c r="AG67" s="242"/>
      <c r="AH67" s="302"/>
    </row>
    <row r="68" spans="1:34" s="59" customFormat="1" ht="13" customHeight="1">
      <c r="A68" s="471"/>
      <c r="D68" s="140"/>
      <c r="E68" s="140"/>
      <c r="G68" s="121" t="s">
        <v>100</v>
      </c>
      <c r="H68" s="122"/>
      <c r="I68" s="125"/>
      <c r="J68" s="125"/>
      <c r="K68" s="125"/>
      <c r="L68" s="377">
        <f>$L$66*$L$60</f>
        <v>0</v>
      </c>
      <c r="N68" s="533" t="s">
        <v>148</v>
      </c>
      <c r="O68" s="534"/>
      <c r="P68" s="398">
        <f>SUM(Jänner:August!$D$53)</f>
        <v>0</v>
      </c>
      <c r="T68" s="242"/>
      <c r="U68" s="242"/>
      <c r="V68" s="242"/>
      <c r="W68" s="242"/>
      <c r="X68" s="242"/>
      <c r="Y68" s="242"/>
      <c r="Z68" s="242"/>
      <c r="AA68" s="242"/>
      <c r="AB68" s="242"/>
      <c r="AC68" s="242"/>
      <c r="AD68" s="242"/>
      <c r="AE68" s="242"/>
      <c r="AF68" s="242"/>
      <c r="AG68" s="242"/>
      <c r="AH68" s="302"/>
    </row>
    <row r="69" spans="1:34" s="59" customFormat="1" ht="13" customHeight="1">
      <c r="A69" s="471"/>
      <c r="D69" s="140"/>
      <c r="E69" s="140"/>
      <c r="G69" s="383" t="s">
        <v>101</v>
      </c>
      <c r="H69" s="384"/>
      <c r="I69" s="378"/>
      <c r="J69" s="378"/>
      <c r="K69" s="378"/>
      <c r="L69" s="379">
        <f>$L$67*$L$61</f>
        <v>0</v>
      </c>
      <c r="N69" s="621" t="s">
        <v>166</v>
      </c>
      <c r="O69" s="622"/>
      <c r="P69" s="399">
        <f>SUM(Jänner:August!$D$54)</f>
        <v>0</v>
      </c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302"/>
    </row>
    <row r="70" spans="1:34" s="59" customFormat="1" ht="13" customHeight="1">
      <c r="A70" s="471"/>
      <c r="D70" s="140"/>
      <c r="E70" s="140"/>
      <c r="G70" s="374" t="s">
        <v>393</v>
      </c>
      <c r="H70" s="375"/>
      <c r="I70" s="125"/>
      <c r="J70" s="125"/>
      <c r="K70" s="125"/>
      <c r="L70" s="376">
        <f>SUM($AA$52:$AB$52)</f>
        <v>0</v>
      </c>
      <c r="N70" s="604" t="s">
        <v>389</v>
      </c>
      <c r="O70" s="605"/>
      <c r="P70" s="451">
        <f>SUM(Jänner:August!$B$56)</f>
        <v>0</v>
      </c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302"/>
    </row>
    <row r="71" spans="1:34" s="59" customFormat="1" ht="13" customHeight="1">
      <c r="A71" s="471"/>
      <c r="D71" s="140"/>
      <c r="E71" s="140"/>
      <c r="G71" s="374" t="s">
        <v>356</v>
      </c>
      <c r="H71" s="375"/>
      <c r="I71" s="125"/>
      <c r="J71" s="125"/>
      <c r="K71" s="125"/>
      <c r="L71" s="376">
        <f>SUM($AA$51:$AD$51)</f>
        <v>0</v>
      </c>
      <c r="N71" s="533" t="s">
        <v>390</v>
      </c>
      <c r="O71" s="534"/>
      <c r="P71" s="398">
        <f>SUM(Jänner:August!$B$57)</f>
        <v>0</v>
      </c>
      <c r="T71" s="242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302"/>
    </row>
    <row r="72" spans="1:34" s="59" customFormat="1" ht="13" customHeight="1">
      <c r="A72" s="471"/>
      <c r="D72" s="140"/>
      <c r="E72" s="140"/>
      <c r="G72" s="374" t="s">
        <v>98</v>
      </c>
      <c r="H72" s="375"/>
      <c r="I72" s="125"/>
      <c r="J72" s="125"/>
      <c r="K72" s="125"/>
      <c r="L72" s="377">
        <f>$L$70*$L$60</f>
        <v>0</v>
      </c>
      <c r="N72" s="606" t="s">
        <v>388</v>
      </c>
      <c r="O72" s="607"/>
      <c r="P72" s="450">
        <f>SUM(Jänner:August!$B$58)</f>
        <v>0</v>
      </c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302"/>
    </row>
    <row r="73" spans="1:34" s="59" customFormat="1" ht="13" customHeight="1">
      <c r="A73" s="471"/>
      <c r="D73" s="140"/>
      <c r="E73" s="315"/>
      <c r="G73" s="267" t="s">
        <v>99</v>
      </c>
      <c r="H73" s="268"/>
      <c r="I73" s="378"/>
      <c r="J73" s="378"/>
      <c r="K73" s="378"/>
      <c r="L73" s="379">
        <f>$L$71*$L$61</f>
        <v>0</v>
      </c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302"/>
    </row>
    <row r="74" spans="1:34" s="59" customFormat="1" ht="13" customHeight="1">
      <c r="A74" s="471"/>
      <c r="D74" s="140"/>
      <c r="G74" s="385" t="s">
        <v>288</v>
      </c>
      <c r="H74" s="386"/>
      <c r="I74" s="161"/>
      <c r="J74" s="161"/>
      <c r="K74" s="161"/>
      <c r="L74" s="387">
        <f>VLOOKUP($B$8,Datenblatt!$A$100:$F$112,6,FALSE)-SUM($D$55:$D$58)</f>
        <v>168</v>
      </c>
      <c r="T74" s="242"/>
      <c r="U74" s="242"/>
      <c r="V74" s="242"/>
      <c r="W74" s="242"/>
      <c r="X74" s="242"/>
      <c r="Y74" s="242"/>
      <c r="Z74" s="242"/>
      <c r="AA74" s="242"/>
      <c r="AB74" s="242"/>
      <c r="AC74" s="242"/>
      <c r="AD74" s="242"/>
      <c r="AE74" s="242"/>
      <c r="AF74" s="242"/>
      <c r="AG74" s="242"/>
      <c r="AH74" s="302"/>
    </row>
    <row r="75" spans="1:34" s="59" customFormat="1" ht="13" customHeight="1">
      <c r="A75" s="471"/>
      <c r="D75" s="140"/>
      <c r="T75" s="242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242"/>
      <c r="AF75" s="242"/>
      <c r="AG75" s="242"/>
      <c r="AH75" s="302"/>
    </row>
    <row r="76" spans="1:34" s="59" customFormat="1" ht="13" customHeight="1">
      <c r="A76" s="471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302"/>
    </row>
    <row r="77" spans="1:34" s="59" customFormat="1" ht="13" customHeight="1">
      <c r="A77" s="471"/>
      <c r="C77" s="164" t="s">
        <v>243</v>
      </c>
      <c r="D77" s="165"/>
      <c r="E77" s="166"/>
      <c r="F77" s="166"/>
      <c r="G77" s="166"/>
      <c r="H77" s="167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302"/>
    </row>
    <row r="78" spans="1:34" s="59" customFormat="1" ht="13" customHeight="1">
      <c r="A78" s="471"/>
      <c r="C78" s="121" t="s">
        <v>92</v>
      </c>
      <c r="D78" s="122"/>
      <c r="E78" s="123"/>
      <c r="F78" s="123"/>
      <c r="G78" s="123"/>
      <c r="H78" s="124">
        <f>SUMPRODUCT((WEEKDAY($B$13:$B$43,2)=6)*($D$13:$D$43="ND"))-SUMPRODUCT((WEEKDAY($B$13:$B$43,2)=6)*($D$13:$D$43="ND")*($A$13:$A$43="Ft"))</f>
        <v>0</v>
      </c>
      <c r="R78" s="120"/>
      <c r="S78" s="120"/>
      <c r="T78" s="242"/>
      <c r="U78" s="242"/>
      <c r="V78" s="242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  <c r="AH78" s="302"/>
    </row>
    <row r="79" spans="1:34" s="59" customFormat="1" ht="13" customHeight="1">
      <c r="A79" s="471"/>
      <c r="C79" s="121" t="s">
        <v>93</v>
      </c>
      <c r="D79" s="122"/>
      <c r="E79" s="123"/>
      <c r="F79" s="123"/>
      <c r="G79" s="123"/>
      <c r="H79" s="124">
        <f>SUMPRODUCT((WEEKDAY($B$14:$B$44,2)=7)*($D$14:$D$44="ND"))-SUMPRODUCT((WEEKDAY($B$14:$B$44,2)=7)*($D$14:$D$44="ND")*($A$14:$A$44="Ft"))</f>
        <v>0</v>
      </c>
      <c r="R79" s="120"/>
      <c r="S79" s="120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  <c r="AH79" s="302"/>
    </row>
    <row r="80" spans="1:34" s="59" customFormat="1" ht="13" customHeight="1">
      <c r="A80" s="471"/>
      <c r="C80" s="121" t="s">
        <v>94</v>
      </c>
      <c r="D80" s="122"/>
      <c r="E80" s="123"/>
      <c r="F80" s="123"/>
      <c r="G80" s="123"/>
      <c r="H80" s="124">
        <f>SUMPRODUCT(($D$14:$D$44="ND")*($A$14:$A$44="Ft"))</f>
        <v>0</v>
      </c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42"/>
      <c r="AG80" s="242"/>
      <c r="AH80" s="302"/>
    </row>
    <row r="81" spans="1:34" s="59" customFormat="1" ht="13" customHeight="1">
      <c r="A81" s="471"/>
      <c r="C81" s="121" t="s">
        <v>95</v>
      </c>
      <c r="D81" s="122"/>
      <c r="E81" s="125"/>
      <c r="F81" s="125"/>
      <c r="G81" s="125"/>
      <c r="H81" s="124">
        <f>SUMPRODUCT((WEEKDAY($C$13:$C$43,2)=7)*($D$13:$D$43="ND")*($A$14:$A$44="Ft"))-SUMPRODUCT((WEEKDAY($C$13:$C$43,2)=7)*($D$13:$D$43="ND")*($A$13:$A$43="Ft")*($A$14:$A$44="Ft"))</f>
        <v>0</v>
      </c>
      <c r="T81" s="242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  <c r="AH81" s="302"/>
    </row>
    <row r="82" spans="1:34" s="59" customFormat="1" ht="13" customHeight="1">
      <c r="A82" s="471"/>
      <c r="C82" s="121" t="s">
        <v>96</v>
      </c>
      <c r="D82" s="122"/>
      <c r="E82" s="125"/>
      <c r="F82" s="125"/>
      <c r="G82" s="125"/>
      <c r="H82" s="124">
        <f>SUMPRODUCT(($A$13:$A$43="Ft")*($D$13:$D$43="ND")*($A$14:$A$44="Ft"))</f>
        <v>0</v>
      </c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42"/>
      <c r="AG82" s="242"/>
      <c r="AH82" s="302"/>
    </row>
    <row r="83" spans="1:34" s="59" customFormat="1" ht="13" customHeight="1">
      <c r="A83" s="471"/>
      <c r="C83" s="121" t="s">
        <v>97</v>
      </c>
      <c r="D83" s="122"/>
      <c r="E83" s="125"/>
      <c r="F83" s="122"/>
      <c r="G83" s="122"/>
      <c r="H83" s="124">
        <f>SUMPRODUCT(($A$13:$A$43="Ft")*(WEEKDAY($C$14:$C$44,2)=7)*($D$13:$D$43="ND"))-SUMPRODUCT(($A$13:$A$43="Ft")*($A$14:$A$44="Ft")*(WEEKDAY($C$14:$C$44,2)=7)*($D$13:$D$43="ND"))</f>
        <v>0</v>
      </c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302"/>
    </row>
    <row r="84" spans="1:34" s="59" customFormat="1" ht="13" customHeight="1">
      <c r="A84" s="471"/>
      <c r="C84" s="126" t="s">
        <v>152</v>
      </c>
      <c r="D84" s="127"/>
      <c r="E84" s="161"/>
      <c r="F84" s="127"/>
      <c r="G84" s="127"/>
      <c r="H84" s="199">
        <f>SUMPRODUCT(($A$14:$A$44="Ft")*(WEEKDAY($C$13:$C$43,2)&lt;6)*($D$13:$D$43="ND"))-(SUMPRODUCT(($A$14:$A$44="Ft")*($A$13:$A$43="Ft")*(WEEKDAY($C$13:$C$43,2)&lt;6)*($D$13:$D$43="ND")))</f>
        <v>0</v>
      </c>
      <c r="T84" s="242"/>
      <c r="U84" s="242"/>
      <c r="V84" s="242"/>
      <c r="W84" s="242"/>
      <c r="X84" s="242"/>
      <c r="Y84" s="242"/>
      <c r="Z84" s="242"/>
      <c r="AA84" s="242"/>
      <c r="AB84" s="242"/>
      <c r="AC84" s="242"/>
      <c r="AD84" s="242"/>
      <c r="AE84" s="242"/>
      <c r="AF84" s="242"/>
      <c r="AG84" s="242"/>
      <c r="AH84" s="302"/>
    </row>
    <row r="85" spans="1:34" s="59" customFormat="1" ht="13" customHeight="1">
      <c r="A85" s="471"/>
      <c r="C85" s="164" t="s">
        <v>244</v>
      </c>
      <c r="D85" s="165"/>
      <c r="E85" s="166"/>
      <c r="F85" s="166"/>
      <c r="G85" s="166"/>
      <c r="H85" s="167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242"/>
      <c r="AF85" s="242"/>
      <c r="AG85" s="242"/>
      <c r="AH85" s="302"/>
    </row>
    <row r="86" spans="1:34" s="59" customFormat="1" ht="13" customHeight="1">
      <c r="A86" s="471"/>
      <c r="C86" s="267" t="s">
        <v>401</v>
      </c>
      <c r="D86" s="268"/>
      <c r="E86" s="268"/>
      <c r="F86" s="268"/>
      <c r="G86" s="268"/>
      <c r="H86" s="163"/>
      <c r="T86" s="242"/>
      <c r="U86" s="242"/>
      <c r="V86" s="242"/>
      <c r="W86" s="242"/>
      <c r="X86" s="242"/>
      <c r="Y86" s="242"/>
      <c r="Z86" s="242"/>
      <c r="AA86" s="242"/>
      <c r="AB86" s="242"/>
      <c r="AC86" s="242"/>
      <c r="AD86" s="242"/>
      <c r="AE86" s="242"/>
      <c r="AF86" s="242"/>
      <c r="AG86" s="242"/>
      <c r="AH86" s="302"/>
    </row>
    <row r="87" spans="1:34" s="59" customFormat="1" ht="13" customHeight="1">
      <c r="A87" s="471"/>
      <c r="C87" s="121" t="s">
        <v>16</v>
      </c>
      <c r="D87" s="122"/>
      <c r="E87" s="122"/>
      <c r="F87" s="122"/>
      <c r="G87" s="122"/>
      <c r="H87" s="124">
        <f>SUMPRODUCT((WEEKDAY($B$14:$B$44,2)=7)*($D$14:$D$44="TD"))+SUMPRODUCT(($D$14:$D$44="TD")*($A$14:$A$44="Ft"))-SUMPRODUCT((WEEKDAY($B$14:$B$44,2)=7)*($D$14:$D$44="TD")*($A$14:$A$44="Ft"))</f>
        <v>0</v>
      </c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  <c r="AH87" s="302"/>
    </row>
    <row r="88" spans="1:34" s="59" customFormat="1" ht="13" customHeight="1">
      <c r="A88" s="471"/>
      <c r="C88" s="121" t="s">
        <v>225</v>
      </c>
      <c r="D88" s="122"/>
      <c r="E88" s="122"/>
      <c r="F88" s="122"/>
      <c r="G88" s="122"/>
      <c r="H88" s="124">
        <f>SUMPRODUCT((WEEKDAY($B$14:$B$44,2)=7)*($D$14:$D$44="TD5,5"))+SUMPRODUCT(($D$14:$D$44="TD5,5")*($A$14:$A$44="Ft"))-SUMPRODUCT((WEEKDAY($B$14:$B$44,2)=7)*($D$14:$D$44="TD5,5")*($A$14:$A$44="Ft"))</f>
        <v>0</v>
      </c>
      <c r="T88" s="242"/>
      <c r="U88" s="242"/>
      <c r="V88" s="242"/>
      <c r="W88" s="242"/>
      <c r="X88" s="242"/>
      <c r="Y88" s="242"/>
      <c r="Z88" s="242"/>
      <c r="AA88" s="242"/>
      <c r="AB88" s="242"/>
      <c r="AC88" s="242"/>
      <c r="AD88" s="242"/>
      <c r="AE88" s="242"/>
      <c r="AF88" s="242"/>
      <c r="AG88" s="242"/>
      <c r="AH88" s="302"/>
    </row>
    <row r="89" spans="1:34" s="59" customFormat="1" ht="13" customHeight="1">
      <c r="A89" s="471"/>
      <c r="C89" s="121" t="s">
        <v>88</v>
      </c>
      <c r="D89" s="122"/>
      <c r="E89" s="122"/>
      <c r="F89" s="122"/>
      <c r="G89" s="122"/>
      <c r="H89" s="124">
        <f>SUMPRODUCT((WEEKDAY($B$14:$B$44,2)=7)*($D$14:$D$44="TD6"))+SUMPRODUCT(($D$14:$D$44="TD6")*($A$14:$A$44="Ft"))-SUMPRODUCT((WEEKDAY($B$14:$B$44,2)=7)*($D$14:$D$44="TD6")*($A$14:$A$44="Ft"))</f>
        <v>0</v>
      </c>
      <c r="T89" s="242"/>
      <c r="U89" s="242"/>
      <c r="V89" s="242"/>
      <c r="W89" s="242"/>
      <c r="X89" s="242"/>
      <c r="Y89" s="242"/>
      <c r="Z89" s="242"/>
      <c r="AA89" s="242"/>
      <c r="AB89" s="242"/>
      <c r="AC89" s="242"/>
      <c r="AD89" s="242"/>
      <c r="AE89" s="242"/>
      <c r="AF89" s="242"/>
      <c r="AG89" s="242"/>
      <c r="AH89" s="302"/>
    </row>
    <row r="90" spans="1:34" s="59" customFormat="1" ht="13" customHeight="1">
      <c r="A90" s="471"/>
      <c r="C90" s="121" t="s">
        <v>184</v>
      </c>
      <c r="D90" s="122"/>
      <c r="E90" s="122"/>
      <c r="F90" s="122"/>
      <c r="G90" s="122"/>
      <c r="H90" s="124">
        <f>SUMPRODUCT((WEEKDAY($B$14:$B$44,2)=7)*($D$14:$D$44="TD6,25"))+SUMPRODUCT(($D$14:$D$44="TD6,25")*($A$14:$A$44="Ft"))-SUMPRODUCT((WEEKDAY($B$14:$B$44,2)=7)*($D$14:$D$44="TD6,25")*($A$14:$A$44="Ft"))</f>
        <v>0</v>
      </c>
      <c r="T90" s="242"/>
      <c r="U90" s="242"/>
      <c r="V90" s="242"/>
      <c r="W90" s="242"/>
      <c r="X90" s="242"/>
      <c r="Y90" s="242"/>
      <c r="Z90" s="242"/>
      <c r="AA90" s="242"/>
      <c r="AB90" s="242"/>
      <c r="AC90" s="242"/>
      <c r="AD90" s="242"/>
      <c r="AE90" s="242"/>
      <c r="AF90" s="242"/>
      <c r="AG90" s="242"/>
      <c r="AH90" s="302"/>
    </row>
    <row r="91" spans="1:34" s="59" customFormat="1" ht="13" customHeight="1">
      <c r="A91" s="471"/>
      <c r="C91" s="121" t="s">
        <v>209</v>
      </c>
      <c r="D91" s="122"/>
      <c r="E91" s="122"/>
      <c r="F91" s="122"/>
      <c r="G91" s="122"/>
      <c r="H91" s="124">
        <f>SUMPRODUCT((WEEKDAY($B$14:$B$44,2)=7)*($D$14:$D$44="TD6,5"))+SUMPRODUCT(($D$14:$D$44="TD6,5")*($A$14:$A$44="Ft"))-SUMPRODUCT((WEEKDAY($B$14:$B$44,2)=7)*($D$14:$D$44="TD6,5")*($A$14:$A$44="Ft"))</f>
        <v>0</v>
      </c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302"/>
    </row>
    <row r="92" spans="1:34" s="59" customFormat="1" ht="13" customHeight="1">
      <c r="A92" s="471"/>
      <c r="C92" s="121" t="s">
        <v>86</v>
      </c>
      <c r="D92" s="122"/>
      <c r="E92" s="122"/>
      <c r="F92" s="122"/>
      <c r="G92" s="122"/>
      <c r="H92" s="124">
        <f>SUMPRODUCT((WEEKDAY($B$14:$B$44,2)=7)*($D$14:$D$44="TD7"))+SUMPRODUCT(($D$14:$D$44="TD7")*($A$14:$A$44="Ft"))-SUMPRODUCT((WEEKDAY($B$14:$B$44,2)=7)*($D$14:$D$44="TD7")*($A$14:$A$44="Ft"))</f>
        <v>0</v>
      </c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302"/>
    </row>
    <row r="93" spans="1:34" s="59" customFormat="1" ht="13" customHeight="1">
      <c r="A93" s="471"/>
      <c r="C93" s="121" t="s">
        <v>213</v>
      </c>
      <c r="D93" s="122"/>
      <c r="E93" s="122"/>
      <c r="F93" s="122"/>
      <c r="G93" s="122"/>
      <c r="H93" s="124">
        <f>SUMPRODUCT((WEEKDAY($B$14:$B$44,2)=7)*($D$14:$D$44="TD7,5"))+SUMPRODUCT(($D$14:$D$44="TD7,5")*($A$14:$A$44="Ft"))-SUMPRODUCT((WEEKDAY($B$14:$B$44,2)=7)*($D$14:$D$44="TD7,5")*($A$14:$A$44="Ft"))</f>
        <v>0</v>
      </c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302"/>
    </row>
    <row r="94" spans="1:34" s="59" customFormat="1" ht="13" customHeight="1">
      <c r="A94" s="471"/>
      <c r="C94" s="121" t="s">
        <v>71</v>
      </c>
      <c r="D94" s="122"/>
      <c r="E94" s="122"/>
      <c r="F94" s="122"/>
      <c r="G94" s="122"/>
      <c r="H94" s="124">
        <f>SUMPRODUCT((WEEKDAY($B$14:$B$44,2)=7)*($D$14:$D$44="TD8"))+SUMPRODUCT(($D$14:$D$44="TD8")*($A$14:$A$44="Ft"))-SUMPRODUCT((WEEKDAY($B$14:$B$44,2)=7)*($D$14:$D$44="TD8")*($A$14:$A$44="Ft"))</f>
        <v>0</v>
      </c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42"/>
      <c r="AG94" s="242"/>
      <c r="AH94" s="302"/>
    </row>
    <row r="95" spans="1:34" s="59" customFormat="1" ht="13" customHeight="1">
      <c r="A95" s="471"/>
      <c r="C95" s="121" t="s">
        <v>214</v>
      </c>
      <c r="D95" s="122"/>
      <c r="E95" s="122"/>
      <c r="F95" s="122"/>
      <c r="G95" s="122"/>
      <c r="H95" s="124">
        <f>SUMPRODUCT((WEEKDAY($B$14:$B$44,2)=7)*($D$14:$D$44="TD8,5"))+SUMPRODUCT(($D$14:$D$44="TD8,5")*($A$14:$A$44="Ft"))-SUMPRODUCT((WEEKDAY($B$14:$B$44,2)=7)*($D$14:$D$44="TD8,5")*($A$14:$A$44="Ft"))</f>
        <v>0</v>
      </c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302"/>
    </row>
    <row r="96" spans="1:34" ht="13" customHeight="1">
      <c r="C96" s="121" t="s">
        <v>84</v>
      </c>
      <c r="D96" s="122"/>
      <c r="E96" s="122"/>
      <c r="F96" s="122"/>
      <c r="G96" s="122"/>
      <c r="H96" s="12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21" t="s">
        <v>215</v>
      </c>
      <c r="D97" s="122"/>
      <c r="E97" s="122"/>
      <c r="F97" s="122"/>
      <c r="G97" s="122"/>
      <c r="H97" s="12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21" t="s">
        <v>413</v>
      </c>
      <c r="D98" s="122"/>
      <c r="E98" s="122"/>
      <c r="F98" s="122"/>
      <c r="G98" s="122"/>
      <c r="H98" s="12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21" t="s">
        <v>216</v>
      </c>
      <c r="D99" s="122"/>
      <c r="E99" s="122"/>
      <c r="F99" s="122"/>
      <c r="G99" s="122"/>
      <c r="H99" s="12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21" t="s">
        <v>217</v>
      </c>
      <c r="D100" s="122"/>
      <c r="E100" s="122"/>
      <c r="F100" s="122"/>
      <c r="G100" s="122"/>
      <c r="H100" s="12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21" t="s">
        <v>210</v>
      </c>
      <c r="D101" s="122"/>
      <c r="E101" s="122"/>
      <c r="F101" s="122"/>
      <c r="G101" s="122"/>
      <c r="H101" s="12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21" t="s">
        <v>218</v>
      </c>
      <c r="D102" s="122"/>
      <c r="E102" s="122"/>
      <c r="F102" s="122"/>
      <c r="G102" s="122"/>
      <c r="H102" s="12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21" t="s">
        <v>119</v>
      </c>
      <c r="D103" s="122"/>
      <c r="E103" s="122"/>
      <c r="F103" s="122"/>
      <c r="G103" s="122"/>
      <c r="H103" s="12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62" t="s">
        <v>149</v>
      </c>
      <c r="D104" s="263"/>
      <c r="E104" s="263"/>
      <c r="F104" s="263"/>
      <c r="G104" s="263"/>
      <c r="H104" s="162"/>
    </row>
    <row r="105" spans="3:8" ht="13" customHeight="1">
      <c r="C105" s="121" t="s">
        <v>153</v>
      </c>
      <c r="D105" s="122"/>
      <c r="E105" s="122"/>
      <c r="F105" s="122"/>
      <c r="G105" s="122"/>
      <c r="H105" s="124">
        <f>SUMPRODUCT((WEEKDAY($B$13:$B$43,2)=6)*($D$13:$D$43="ND12,5"))-SUMPRODUCT((WEEKDAY($B$13:$B$43,2)=6)*($D$13:$D$43="ND12,5")*($A$13:$A$43="Ft"))</f>
        <v>0</v>
      </c>
    </row>
    <row r="106" spans="3:8">
      <c r="C106" s="121" t="s">
        <v>150</v>
      </c>
      <c r="D106" s="125"/>
      <c r="E106" s="125"/>
      <c r="F106" s="125"/>
      <c r="G106" s="125"/>
      <c r="H106" s="124">
        <f>SUMPRODUCT((WEEKDAY($B$14:$B$44,2)=7)*($D$14:$D$44="ND12,5"))-SUMPRODUCT((WEEKDAY($B$14:$B$44,2)=7)*($D$14:$D$44="ND12,5")*($A$14:$A$44="Ft"))</f>
        <v>0</v>
      </c>
    </row>
    <row r="107" spans="3:8">
      <c r="C107" s="121" t="s">
        <v>151</v>
      </c>
      <c r="D107" s="125"/>
      <c r="E107" s="125"/>
      <c r="F107" s="125"/>
      <c r="G107" s="125"/>
      <c r="H107" s="124">
        <f>SUMPRODUCT(($D$14:$D$44="ND12,5")*($A$14:$A$44="Ft"))</f>
        <v>0</v>
      </c>
    </row>
    <row r="108" spans="3:8">
      <c r="C108" s="121" t="s">
        <v>155</v>
      </c>
      <c r="D108" s="125"/>
      <c r="E108" s="125"/>
      <c r="F108" s="125"/>
      <c r="G108" s="125"/>
      <c r="H108" s="12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21" t="s">
        <v>156</v>
      </c>
      <c r="D109" s="125"/>
      <c r="E109" s="125"/>
      <c r="F109" s="125"/>
      <c r="G109" s="125"/>
      <c r="H109" s="124">
        <f>SUMPRODUCT(($A$13:$A$43="Ft")*($D$13:$D$43="ND12,5")*($A$14:$A$44="Ft"))</f>
        <v>0</v>
      </c>
    </row>
    <row r="110" spans="3:8">
      <c r="C110" s="121" t="s">
        <v>157</v>
      </c>
      <c r="D110" s="125"/>
      <c r="E110" s="125"/>
      <c r="F110" s="125"/>
      <c r="G110" s="125"/>
      <c r="H110" s="12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26" t="s">
        <v>154</v>
      </c>
      <c r="D111" s="161"/>
      <c r="E111" s="161"/>
      <c r="F111" s="161"/>
      <c r="G111" s="161"/>
      <c r="H111" s="199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BIOuwU/DMVrmdXW9wNVIMjO6jplsM1chMTx5Lxi3JgHSuDDR7lEYBg2k9dRfARIr2Zzntt2InOrWoZ1Ld6nO6A==" saltValue="3CzPzIZtLO3+LH2qQhzf+w==" spinCount="100000" sheet="1" selectLockedCells="1"/>
  <mergeCells count="63">
    <mergeCell ref="N70:O70"/>
    <mergeCell ref="N71:O71"/>
    <mergeCell ref="N72:O72"/>
    <mergeCell ref="N62:O62"/>
    <mergeCell ref="N64:P65"/>
    <mergeCell ref="N66:O66"/>
    <mergeCell ref="N69:O69"/>
    <mergeCell ref="N67:O67"/>
    <mergeCell ref="N68:O68"/>
    <mergeCell ref="N63:O63"/>
    <mergeCell ref="B9:C11"/>
    <mergeCell ref="D9:D11"/>
    <mergeCell ref="N61:O61"/>
    <mergeCell ref="C50:D50"/>
    <mergeCell ref="G54:I54"/>
    <mergeCell ref="N50:P51"/>
    <mergeCell ref="N58:P59"/>
    <mergeCell ref="N52:O52"/>
    <mergeCell ref="N53:O53"/>
    <mergeCell ref="N54:O54"/>
    <mergeCell ref="N60:O60"/>
    <mergeCell ref="L47:O47"/>
    <mergeCell ref="E9:E11"/>
    <mergeCell ref="F9:G10"/>
    <mergeCell ref="H9:I10"/>
    <mergeCell ref="J9:J11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AG10:AG11"/>
    <mergeCell ref="S9:S11"/>
    <mergeCell ref="Q9:Q11"/>
    <mergeCell ref="R9:R11"/>
    <mergeCell ref="L9:L11"/>
    <mergeCell ref="M9:M11"/>
    <mergeCell ref="N9:N11"/>
    <mergeCell ref="O9:O11"/>
    <mergeCell ref="P9:P11"/>
    <mergeCell ref="AF10:AF11"/>
    <mergeCell ref="U10:Y10"/>
    <mergeCell ref="AA10:AE10"/>
    <mergeCell ref="L48:O48"/>
    <mergeCell ref="N55:O55"/>
    <mergeCell ref="N56:O56"/>
    <mergeCell ref="N57:O57"/>
    <mergeCell ref="K5:M5"/>
    <mergeCell ref="K6:M6"/>
    <mergeCell ref="N6:P6"/>
    <mergeCell ref="N5:P5"/>
    <mergeCell ref="K8:M8"/>
    <mergeCell ref="N8:P8"/>
    <mergeCell ref="K7:M7"/>
    <mergeCell ref="N7:P7"/>
    <mergeCell ref="N13:O13"/>
    <mergeCell ref="K9:K11"/>
  </mergeCells>
  <conditionalFormatting sqref="A13:A44">
    <cfRule type="cellIs" dxfId="225" priority="8" operator="equal">
      <formula>"HFT"</formula>
    </cfRule>
    <cfRule type="cellIs" dxfId="224" priority="9" operator="equal">
      <formula>"FT"</formula>
    </cfRule>
  </conditionalFormatting>
  <conditionalFormatting sqref="A45">
    <cfRule type="cellIs" dxfId="223" priority="283" operator="equal">
      <formula>"Ft"</formula>
    </cfRule>
  </conditionalFormatting>
  <conditionalFormatting sqref="B13:C44">
    <cfRule type="expression" dxfId="222" priority="284">
      <formula>WEEKDAY($C13,2)&gt;5</formula>
    </cfRule>
  </conditionalFormatting>
  <conditionalFormatting sqref="E8">
    <cfRule type="cellIs" dxfId="220" priority="43" operator="greaterThan">
      <formula>48</formula>
    </cfRule>
  </conditionalFormatting>
  <conditionalFormatting sqref="I47:K47">
    <cfRule type="cellIs" dxfId="219" priority="112" operator="equal">
      <formula>"Wochenarbeitszeit überschritten"</formula>
    </cfRule>
  </conditionalFormatting>
  <conditionalFormatting sqref="J45:P45">
    <cfRule type="cellIs" dxfId="218" priority="153" operator="equal">
      <formula>0</formula>
    </cfRule>
  </conditionalFormatting>
  <conditionalFormatting sqref="K8">
    <cfRule type="cellIs" dxfId="217" priority="202" operator="lessThan">
      <formula>$N$8</formula>
    </cfRule>
    <cfRule type="cellIs" dxfId="216" priority="200" operator="equal">
      <formula>$N$8</formula>
    </cfRule>
    <cfRule type="cellIs" dxfId="215" priority="201" operator="greaterThan">
      <formula>$N$8</formula>
    </cfRule>
  </conditionalFormatting>
  <conditionalFormatting sqref="K14:K44">
    <cfRule type="cellIs" dxfId="214" priority="31" operator="lessThanOrEqual">
      <formula>0</formula>
    </cfRule>
    <cfRule type="cellIs" dxfId="213" priority="32" operator="greaterThan">
      <formula>0</formula>
    </cfRule>
  </conditionalFormatting>
  <conditionalFormatting sqref="K45">
    <cfRule type="cellIs" dxfId="212" priority="205" operator="lessThan">
      <formula>0</formula>
    </cfRule>
  </conditionalFormatting>
  <conditionalFormatting sqref="N14:O44">
    <cfRule type="cellIs" dxfId="211" priority="11" operator="equal">
      <formula>0</formula>
    </cfRule>
  </conditionalFormatting>
  <conditionalFormatting sqref="P13:P44">
    <cfRule type="cellIs" dxfId="210" priority="2" operator="equal">
      <formula>0</formula>
    </cfRule>
  </conditionalFormatting>
  <conditionalFormatting sqref="P60:P63">
    <cfRule type="cellIs" dxfId="209" priority="58" operator="lessThan">
      <formula>0</formula>
    </cfRule>
  </conditionalFormatting>
  <conditionalFormatting sqref="Q47">
    <cfRule type="cellIs" dxfId="208" priority="47" operator="equal">
      <formula>0</formula>
    </cfRule>
  </conditionalFormatting>
  <conditionalFormatting sqref="T14:T44">
    <cfRule type="cellIs" dxfId="207" priority="263" operator="equal">
      <formula>0</formula>
    </cfRule>
  </conditionalFormatting>
  <conditionalFormatting sqref="T45:W45">
    <cfRule type="cellIs" dxfId="206" priority="147" operator="equal">
      <formula>0</formula>
    </cfRule>
  </conditionalFormatting>
  <conditionalFormatting sqref="T51:W51">
    <cfRule type="cellIs" dxfId="205" priority="25" operator="equal">
      <formula>0</formula>
    </cfRule>
  </conditionalFormatting>
  <conditionalFormatting sqref="U15:W44">
    <cfRule type="cellIs" dxfId="204" priority="237" operator="equal">
      <formula>0</formula>
    </cfRule>
  </conditionalFormatting>
  <conditionalFormatting sqref="U51:Y53">
    <cfRule type="cellIs" dxfId="203" priority="15" operator="equal">
      <formula>0</formula>
    </cfRule>
  </conditionalFormatting>
  <conditionalFormatting sqref="V14">
    <cfRule type="cellIs" dxfId="202" priority="264" operator="equal">
      <formula>0</formula>
    </cfRule>
  </conditionalFormatting>
  <conditionalFormatting sqref="V13:W13">
    <cfRule type="cellIs" dxfId="201" priority="163" operator="equal">
      <formula>0</formula>
    </cfRule>
  </conditionalFormatting>
  <conditionalFormatting sqref="W52">
    <cfRule type="cellIs" dxfId="200" priority="19" operator="equal">
      <formula>0</formula>
    </cfRule>
  </conditionalFormatting>
  <conditionalFormatting sqref="X13:Y45">
    <cfRule type="cellIs" dxfId="199" priority="59" operator="equal">
      <formula>0</formula>
    </cfRule>
  </conditionalFormatting>
  <conditionalFormatting sqref="Z13:Z44">
    <cfRule type="cellIs" dxfId="198" priority="164" operator="equal">
      <formula>0</formula>
    </cfRule>
  </conditionalFormatting>
  <conditionalFormatting sqref="Z51:AC51">
    <cfRule type="cellIs" dxfId="197" priority="23" operator="equal">
      <formula>0</formula>
    </cfRule>
  </conditionalFormatting>
  <conditionalFormatting sqref="Z45:AD45">
    <cfRule type="cellIs" dxfId="196" priority="145" operator="equal">
      <formula>0</formula>
    </cfRule>
  </conditionalFormatting>
  <conditionalFormatting sqref="AA14:AB44">
    <cfRule type="cellIs" dxfId="195" priority="33" operator="equal">
      <formula>0</formula>
    </cfRule>
  </conditionalFormatting>
  <conditionalFormatting sqref="AA51:AE52">
    <cfRule type="cellIs" dxfId="194" priority="5" operator="equal">
      <formula>0</formula>
    </cfRule>
  </conditionalFormatting>
  <conditionalFormatting sqref="AC13:AD44">
    <cfRule type="cellIs" dxfId="193" priority="119" operator="equal">
      <formula>0</formula>
    </cfRule>
  </conditionalFormatting>
  <conditionalFormatting sqref="AE13:AE45">
    <cfRule type="cellIs" dxfId="192" priority="1" operator="equal">
      <formula>0</formula>
    </cfRule>
  </conditionalFormatting>
  <conditionalFormatting sqref="AF13:AG44">
    <cfRule type="cellIs" dxfId="191" priority="73" operator="equal">
      <formula>0</formula>
    </cfRule>
  </conditionalFormatting>
  <conditionalFormatting sqref="AG51:AH51">
    <cfRule type="cellIs" dxfId="190" priority="14" operator="equal">
      <formula>0</formula>
    </cfRule>
  </conditionalFormatting>
  <conditionalFormatting sqref="AH14:AH44">
    <cfRule type="cellIs" dxfId="189" priority="28" operator="equal">
      <formula>0</formula>
    </cfRule>
  </conditionalFormatting>
  <conditionalFormatting sqref="AH51:AH52">
    <cfRule type="cellIs" dxfId="188" priority="12" operator="equal">
      <formula>0</formula>
    </cfRule>
  </conditionalFormatting>
  <dataValidations count="4">
    <dataValidation type="list" allowBlank="1" showInputMessage="1" showErrorMessage="1" sqref="J14:J44" xr:uid="{94B82887-FB2E-40F4-923F-E0457B6D5FAA}">
      <formula1>AbwesenheitenStunden</formula1>
    </dataValidation>
    <dataValidation type="list" allowBlank="1" showInputMessage="1" showErrorMessage="1" error="Die Eingabe ist unzulässig_x000a_Bitte Drop Down Felder verwenden" sqref="F14:G44" xr:uid="{EE24E89A-C1F3-45D6-AED6-E8112A4B7D87}">
      <formula1>Zeiten1</formula1>
    </dataValidation>
    <dataValidation type="decimal" allowBlank="1" showInputMessage="1" showErrorMessage="1" error="Die ausgewählte Stundenanzahl steht nicht zur Verfügung!" sqref="J54" xr:uid="{022FD14F-15ED-4FB5-A84E-96215D6E6F00}">
      <formula1>0</formula1>
      <formula2>K54</formula2>
    </dataValidation>
    <dataValidation type="list" allowBlank="1" showInputMessage="1" showErrorMessage="1" sqref="H14:I44" xr:uid="{0817161E-B7B7-4484-A692-717BEDF03FC0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6" id="{ABBB313F-5701-4BAB-A21E-50525B3F53BD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A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ABECB062-B1BF-4188-AC73-4FF208BB9492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8FF1D244-75A5-4188-B967-DD727F9EADBD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ABC851BE-6B42-4CEA-9A2D-C9C4424B01DE}">
          <x14:formula1>
            <xm:f>Datenblatt!$D$58:$D$59</xm:f>
          </x14:formula1>
          <xm:sqref>P47 J58</xm:sqref>
        </x14:dataValidation>
        <x14:dataValidation type="list" allowBlank="1" showInputMessage="1" showErrorMessage="1" xr:uid="{F9F843BE-05F1-4B87-A50A-9A33E06756BA}">
          <x14:formula1>
            <xm:f>Datenblatt!$D$52:$D$53</xm:f>
          </x14:formula1>
          <xm:sqref>P48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71" customWidth="1"/>
    <col min="2" max="2" width="3.1640625" style="56" customWidth="1"/>
    <col min="3" max="3" width="8.83203125" style="56" customWidth="1"/>
    <col min="4" max="5" width="9.83203125" style="56" customWidth="1"/>
    <col min="6" max="10" width="9.1640625" style="56" customWidth="1"/>
    <col min="11" max="16" width="8.83203125" style="56" customWidth="1"/>
    <col min="17" max="17" width="23.5" style="66" customWidth="1"/>
    <col min="18" max="18" width="36.5" style="66" customWidth="1"/>
    <col min="19" max="19" width="43.5" style="56" customWidth="1"/>
    <col min="20" max="33" width="7.1640625" style="234" customWidth="1"/>
    <col min="34" max="34" width="7.1640625" style="301" customWidth="1"/>
    <col min="35" max="264" width="11.5" style="56"/>
    <col min="265" max="265" width="0.5" style="56" customWidth="1"/>
    <col min="266" max="266" width="3.1640625" style="56" customWidth="1"/>
    <col min="267" max="267" width="8.83203125" style="56" customWidth="1"/>
    <col min="268" max="268" width="14.83203125" style="56" customWidth="1"/>
    <col min="269" max="270" width="6.5" style="56" customWidth="1"/>
    <col min="271" max="271" width="14.83203125" style="56" customWidth="1"/>
    <col min="272" max="273" width="11.5" style="56" customWidth="1"/>
    <col min="274" max="274" width="6.1640625" style="56" customWidth="1"/>
    <col min="275" max="275" width="22.83203125" style="56" customWidth="1"/>
    <col min="276" max="276" width="11.5" style="56" customWidth="1"/>
    <col min="277" max="277" width="13.83203125" style="56" customWidth="1"/>
    <col min="278" max="278" width="5.83203125" style="56" customWidth="1"/>
    <col min="279" max="279" width="15.5" style="56" customWidth="1"/>
    <col min="280" max="520" width="11.5" style="56"/>
    <col min="521" max="521" width="0.5" style="56" customWidth="1"/>
    <col min="522" max="522" width="3.1640625" style="56" customWidth="1"/>
    <col min="523" max="523" width="8.83203125" style="56" customWidth="1"/>
    <col min="524" max="524" width="14.83203125" style="56" customWidth="1"/>
    <col min="525" max="526" width="6.5" style="56" customWidth="1"/>
    <col min="527" max="527" width="14.83203125" style="56" customWidth="1"/>
    <col min="528" max="529" width="11.5" style="56" customWidth="1"/>
    <col min="530" max="530" width="6.1640625" style="56" customWidth="1"/>
    <col min="531" max="531" width="22.83203125" style="56" customWidth="1"/>
    <col min="532" max="532" width="11.5" style="56" customWidth="1"/>
    <col min="533" max="533" width="13.83203125" style="56" customWidth="1"/>
    <col min="534" max="534" width="5.83203125" style="56" customWidth="1"/>
    <col min="535" max="535" width="15.5" style="56" customWidth="1"/>
    <col min="536" max="776" width="11.5" style="56"/>
    <col min="777" max="777" width="0.5" style="56" customWidth="1"/>
    <col min="778" max="778" width="3.1640625" style="56" customWidth="1"/>
    <col min="779" max="779" width="8.83203125" style="56" customWidth="1"/>
    <col min="780" max="780" width="14.83203125" style="56" customWidth="1"/>
    <col min="781" max="782" width="6.5" style="56" customWidth="1"/>
    <col min="783" max="783" width="14.83203125" style="56" customWidth="1"/>
    <col min="784" max="785" width="11.5" style="56" customWidth="1"/>
    <col min="786" max="786" width="6.1640625" style="56" customWidth="1"/>
    <col min="787" max="787" width="22.83203125" style="56" customWidth="1"/>
    <col min="788" max="788" width="11.5" style="56" customWidth="1"/>
    <col min="789" max="789" width="13.83203125" style="56" customWidth="1"/>
    <col min="790" max="790" width="5.83203125" style="56" customWidth="1"/>
    <col min="791" max="791" width="15.5" style="56" customWidth="1"/>
    <col min="792" max="1032" width="11.5" style="56"/>
    <col min="1033" max="1033" width="0.5" style="56" customWidth="1"/>
    <col min="1034" max="1034" width="3.1640625" style="56" customWidth="1"/>
    <col min="1035" max="1035" width="8.83203125" style="56" customWidth="1"/>
    <col min="1036" max="1036" width="14.83203125" style="56" customWidth="1"/>
    <col min="1037" max="1038" width="6.5" style="56" customWidth="1"/>
    <col min="1039" max="1039" width="14.83203125" style="56" customWidth="1"/>
    <col min="1040" max="1041" width="11.5" style="56" customWidth="1"/>
    <col min="1042" max="1042" width="6.1640625" style="56" customWidth="1"/>
    <col min="1043" max="1043" width="22.83203125" style="56" customWidth="1"/>
    <col min="1044" max="1044" width="11.5" style="56" customWidth="1"/>
    <col min="1045" max="1045" width="13.83203125" style="56" customWidth="1"/>
    <col min="1046" max="1046" width="5.83203125" style="56" customWidth="1"/>
    <col min="1047" max="1047" width="15.5" style="56" customWidth="1"/>
    <col min="1048" max="1288" width="11.5" style="56"/>
    <col min="1289" max="1289" width="0.5" style="56" customWidth="1"/>
    <col min="1290" max="1290" width="3.1640625" style="56" customWidth="1"/>
    <col min="1291" max="1291" width="8.83203125" style="56" customWidth="1"/>
    <col min="1292" max="1292" width="14.83203125" style="56" customWidth="1"/>
    <col min="1293" max="1294" width="6.5" style="56" customWidth="1"/>
    <col min="1295" max="1295" width="14.83203125" style="56" customWidth="1"/>
    <col min="1296" max="1297" width="11.5" style="56" customWidth="1"/>
    <col min="1298" max="1298" width="6.1640625" style="56" customWidth="1"/>
    <col min="1299" max="1299" width="22.83203125" style="56" customWidth="1"/>
    <col min="1300" max="1300" width="11.5" style="56" customWidth="1"/>
    <col min="1301" max="1301" width="13.83203125" style="56" customWidth="1"/>
    <col min="1302" max="1302" width="5.83203125" style="56" customWidth="1"/>
    <col min="1303" max="1303" width="15.5" style="56" customWidth="1"/>
    <col min="1304" max="1544" width="11.5" style="56"/>
    <col min="1545" max="1545" width="0.5" style="56" customWidth="1"/>
    <col min="1546" max="1546" width="3.1640625" style="56" customWidth="1"/>
    <col min="1547" max="1547" width="8.83203125" style="56" customWidth="1"/>
    <col min="1548" max="1548" width="14.83203125" style="56" customWidth="1"/>
    <col min="1549" max="1550" width="6.5" style="56" customWidth="1"/>
    <col min="1551" max="1551" width="14.83203125" style="56" customWidth="1"/>
    <col min="1552" max="1553" width="11.5" style="56" customWidth="1"/>
    <col min="1554" max="1554" width="6.1640625" style="56" customWidth="1"/>
    <col min="1555" max="1555" width="22.83203125" style="56" customWidth="1"/>
    <col min="1556" max="1556" width="11.5" style="56" customWidth="1"/>
    <col min="1557" max="1557" width="13.83203125" style="56" customWidth="1"/>
    <col min="1558" max="1558" width="5.83203125" style="56" customWidth="1"/>
    <col min="1559" max="1559" width="15.5" style="56" customWidth="1"/>
    <col min="1560" max="1800" width="11.5" style="56"/>
    <col min="1801" max="1801" width="0.5" style="56" customWidth="1"/>
    <col min="1802" max="1802" width="3.1640625" style="56" customWidth="1"/>
    <col min="1803" max="1803" width="8.83203125" style="56" customWidth="1"/>
    <col min="1804" max="1804" width="14.83203125" style="56" customWidth="1"/>
    <col min="1805" max="1806" width="6.5" style="56" customWidth="1"/>
    <col min="1807" max="1807" width="14.83203125" style="56" customWidth="1"/>
    <col min="1808" max="1809" width="11.5" style="56" customWidth="1"/>
    <col min="1810" max="1810" width="6.1640625" style="56" customWidth="1"/>
    <col min="1811" max="1811" width="22.83203125" style="56" customWidth="1"/>
    <col min="1812" max="1812" width="11.5" style="56" customWidth="1"/>
    <col min="1813" max="1813" width="13.83203125" style="56" customWidth="1"/>
    <col min="1814" max="1814" width="5.83203125" style="56" customWidth="1"/>
    <col min="1815" max="1815" width="15.5" style="56" customWidth="1"/>
    <col min="1816" max="2056" width="11.5" style="56"/>
    <col min="2057" max="2057" width="0.5" style="56" customWidth="1"/>
    <col min="2058" max="2058" width="3.1640625" style="56" customWidth="1"/>
    <col min="2059" max="2059" width="8.83203125" style="56" customWidth="1"/>
    <col min="2060" max="2060" width="14.83203125" style="56" customWidth="1"/>
    <col min="2061" max="2062" width="6.5" style="56" customWidth="1"/>
    <col min="2063" max="2063" width="14.83203125" style="56" customWidth="1"/>
    <col min="2064" max="2065" width="11.5" style="56" customWidth="1"/>
    <col min="2066" max="2066" width="6.1640625" style="56" customWidth="1"/>
    <col min="2067" max="2067" width="22.83203125" style="56" customWidth="1"/>
    <col min="2068" max="2068" width="11.5" style="56" customWidth="1"/>
    <col min="2069" max="2069" width="13.83203125" style="56" customWidth="1"/>
    <col min="2070" max="2070" width="5.83203125" style="56" customWidth="1"/>
    <col min="2071" max="2071" width="15.5" style="56" customWidth="1"/>
    <col min="2072" max="2312" width="11.5" style="56"/>
    <col min="2313" max="2313" width="0.5" style="56" customWidth="1"/>
    <col min="2314" max="2314" width="3.1640625" style="56" customWidth="1"/>
    <col min="2315" max="2315" width="8.83203125" style="56" customWidth="1"/>
    <col min="2316" max="2316" width="14.83203125" style="56" customWidth="1"/>
    <col min="2317" max="2318" width="6.5" style="56" customWidth="1"/>
    <col min="2319" max="2319" width="14.83203125" style="56" customWidth="1"/>
    <col min="2320" max="2321" width="11.5" style="56" customWidth="1"/>
    <col min="2322" max="2322" width="6.1640625" style="56" customWidth="1"/>
    <col min="2323" max="2323" width="22.83203125" style="56" customWidth="1"/>
    <col min="2324" max="2324" width="11.5" style="56" customWidth="1"/>
    <col min="2325" max="2325" width="13.83203125" style="56" customWidth="1"/>
    <col min="2326" max="2326" width="5.83203125" style="56" customWidth="1"/>
    <col min="2327" max="2327" width="15.5" style="56" customWidth="1"/>
    <col min="2328" max="2568" width="11.5" style="56"/>
    <col min="2569" max="2569" width="0.5" style="56" customWidth="1"/>
    <col min="2570" max="2570" width="3.1640625" style="56" customWidth="1"/>
    <col min="2571" max="2571" width="8.83203125" style="56" customWidth="1"/>
    <col min="2572" max="2572" width="14.83203125" style="56" customWidth="1"/>
    <col min="2573" max="2574" width="6.5" style="56" customWidth="1"/>
    <col min="2575" max="2575" width="14.83203125" style="56" customWidth="1"/>
    <col min="2576" max="2577" width="11.5" style="56" customWidth="1"/>
    <col min="2578" max="2578" width="6.1640625" style="56" customWidth="1"/>
    <col min="2579" max="2579" width="22.83203125" style="56" customWidth="1"/>
    <col min="2580" max="2580" width="11.5" style="56" customWidth="1"/>
    <col min="2581" max="2581" width="13.83203125" style="56" customWidth="1"/>
    <col min="2582" max="2582" width="5.83203125" style="56" customWidth="1"/>
    <col min="2583" max="2583" width="15.5" style="56" customWidth="1"/>
    <col min="2584" max="2824" width="11.5" style="56"/>
    <col min="2825" max="2825" width="0.5" style="56" customWidth="1"/>
    <col min="2826" max="2826" width="3.1640625" style="56" customWidth="1"/>
    <col min="2827" max="2827" width="8.83203125" style="56" customWidth="1"/>
    <col min="2828" max="2828" width="14.83203125" style="56" customWidth="1"/>
    <col min="2829" max="2830" width="6.5" style="56" customWidth="1"/>
    <col min="2831" max="2831" width="14.83203125" style="56" customWidth="1"/>
    <col min="2832" max="2833" width="11.5" style="56" customWidth="1"/>
    <col min="2834" max="2834" width="6.1640625" style="56" customWidth="1"/>
    <col min="2835" max="2835" width="22.83203125" style="56" customWidth="1"/>
    <col min="2836" max="2836" width="11.5" style="56" customWidth="1"/>
    <col min="2837" max="2837" width="13.83203125" style="56" customWidth="1"/>
    <col min="2838" max="2838" width="5.83203125" style="56" customWidth="1"/>
    <col min="2839" max="2839" width="15.5" style="56" customWidth="1"/>
    <col min="2840" max="3080" width="11.5" style="56"/>
    <col min="3081" max="3081" width="0.5" style="56" customWidth="1"/>
    <col min="3082" max="3082" width="3.1640625" style="56" customWidth="1"/>
    <col min="3083" max="3083" width="8.83203125" style="56" customWidth="1"/>
    <col min="3084" max="3084" width="14.83203125" style="56" customWidth="1"/>
    <col min="3085" max="3086" width="6.5" style="56" customWidth="1"/>
    <col min="3087" max="3087" width="14.83203125" style="56" customWidth="1"/>
    <col min="3088" max="3089" width="11.5" style="56" customWidth="1"/>
    <col min="3090" max="3090" width="6.1640625" style="56" customWidth="1"/>
    <col min="3091" max="3091" width="22.83203125" style="56" customWidth="1"/>
    <col min="3092" max="3092" width="11.5" style="56" customWidth="1"/>
    <col min="3093" max="3093" width="13.83203125" style="56" customWidth="1"/>
    <col min="3094" max="3094" width="5.83203125" style="56" customWidth="1"/>
    <col min="3095" max="3095" width="15.5" style="56" customWidth="1"/>
    <col min="3096" max="3336" width="11.5" style="56"/>
    <col min="3337" max="3337" width="0.5" style="56" customWidth="1"/>
    <col min="3338" max="3338" width="3.1640625" style="56" customWidth="1"/>
    <col min="3339" max="3339" width="8.83203125" style="56" customWidth="1"/>
    <col min="3340" max="3340" width="14.83203125" style="56" customWidth="1"/>
    <col min="3341" max="3342" width="6.5" style="56" customWidth="1"/>
    <col min="3343" max="3343" width="14.83203125" style="56" customWidth="1"/>
    <col min="3344" max="3345" width="11.5" style="56" customWidth="1"/>
    <col min="3346" max="3346" width="6.1640625" style="56" customWidth="1"/>
    <col min="3347" max="3347" width="22.83203125" style="56" customWidth="1"/>
    <col min="3348" max="3348" width="11.5" style="56" customWidth="1"/>
    <col min="3349" max="3349" width="13.83203125" style="56" customWidth="1"/>
    <col min="3350" max="3350" width="5.83203125" style="56" customWidth="1"/>
    <col min="3351" max="3351" width="15.5" style="56" customWidth="1"/>
    <col min="3352" max="3592" width="11.5" style="56"/>
    <col min="3593" max="3593" width="0.5" style="56" customWidth="1"/>
    <col min="3594" max="3594" width="3.1640625" style="56" customWidth="1"/>
    <col min="3595" max="3595" width="8.83203125" style="56" customWidth="1"/>
    <col min="3596" max="3596" width="14.83203125" style="56" customWidth="1"/>
    <col min="3597" max="3598" width="6.5" style="56" customWidth="1"/>
    <col min="3599" max="3599" width="14.83203125" style="56" customWidth="1"/>
    <col min="3600" max="3601" width="11.5" style="56" customWidth="1"/>
    <col min="3602" max="3602" width="6.1640625" style="56" customWidth="1"/>
    <col min="3603" max="3603" width="22.83203125" style="56" customWidth="1"/>
    <col min="3604" max="3604" width="11.5" style="56" customWidth="1"/>
    <col min="3605" max="3605" width="13.83203125" style="56" customWidth="1"/>
    <col min="3606" max="3606" width="5.83203125" style="56" customWidth="1"/>
    <col min="3607" max="3607" width="15.5" style="56" customWidth="1"/>
    <col min="3608" max="3848" width="11.5" style="56"/>
    <col min="3849" max="3849" width="0.5" style="56" customWidth="1"/>
    <col min="3850" max="3850" width="3.1640625" style="56" customWidth="1"/>
    <col min="3851" max="3851" width="8.83203125" style="56" customWidth="1"/>
    <col min="3852" max="3852" width="14.83203125" style="56" customWidth="1"/>
    <col min="3853" max="3854" width="6.5" style="56" customWidth="1"/>
    <col min="3855" max="3855" width="14.83203125" style="56" customWidth="1"/>
    <col min="3856" max="3857" width="11.5" style="56" customWidth="1"/>
    <col min="3858" max="3858" width="6.1640625" style="56" customWidth="1"/>
    <col min="3859" max="3859" width="22.83203125" style="56" customWidth="1"/>
    <col min="3860" max="3860" width="11.5" style="56" customWidth="1"/>
    <col min="3861" max="3861" width="13.83203125" style="56" customWidth="1"/>
    <col min="3862" max="3862" width="5.83203125" style="56" customWidth="1"/>
    <col min="3863" max="3863" width="15.5" style="56" customWidth="1"/>
    <col min="3864" max="4104" width="11.5" style="56"/>
    <col min="4105" max="4105" width="0.5" style="56" customWidth="1"/>
    <col min="4106" max="4106" width="3.1640625" style="56" customWidth="1"/>
    <col min="4107" max="4107" width="8.83203125" style="56" customWidth="1"/>
    <col min="4108" max="4108" width="14.83203125" style="56" customWidth="1"/>
    <col min="4109" max="4110" width="6.5" style="56" customWidth="1"/>
    <col min="4111" max="4111" width="14.83203125" style="56" customWidth="1"/>
    <col min="4112" max="4113" width="11.5" style="56" customWidth="1"/>
    <col min="4114" max="4114" width="6.1640625" style="56" customWidth="1"/>
    <col min="4115" max="4115" width="22.83203125" style="56" customWidth="1"/>
    <col min="4116" max="4116" width="11.5" style="56" customWidth="1"/>
    <col min="4117" max="4117" width="13.83203125" style="56" customWidth="1"/>
    <col min="4118" max="4118" width="5.83203125" style="56" customWidth="1"/>
    <col min="4119" max="4119" width="15.5" style="56" customWidth="1"/>
    <col min="4120" max="4360" width="11.5" style="56"/>
    <col min="4361" max="4361" width="0.5" style="56" customWidth="1"/>
    <col min="4362" max="4362" width="3.1640625" style="56" customWidth="1"/>
    <col min="4363" max="4363" width="8.83203125" style="56" customWidth="1"/>
    <col min="4364" max="4364" width="14.83203125" style="56" customWidth="1"/>
    <col min="4365" max="4366" width="6.5" style="56" customWidth="1"/>
    <col min="4367" max="4367" width="14.83203125" style="56" customWidth="1"/>
    <col min="4368" max="4369" width="11.5" style="56" customWidth="1"/>
    <col min="4370" max="4370" width="6.1640625" style="56" customWidth="1"/>
    <col min="4371" max="4371" width="22.83203125" style="56" customWidth="1"/>
    <col min="4372" max="4372" width="11.5" style="56" customWidth="1"/>
    <col min="4373" max="4373" width="13.83203125" style="56" customWidth="1"/>
    <col min="4374" max="4374" width="5.83203125" style="56" customWidth="1"/>
    <col min="4375" max="4375" width="15.5" style="56" customWidth="1"/>
    <col min="4376" max="4616" width="11.5" style="56"/>
    <col min="4617" max="4617" width="0.5" style="56" customWidth="1"/>
    <col min="4618" max="4618" width="3.1640625" style="56" customWidth="1"/>
    <col min="4619" max="4619" width="8.83203125" style="56" customWidth="1"/>
    <col min="4620" max="4620" width="14.83203125" style="56" customWidth="1"/>
    <col min="4621" max="4622" width="6.5" style="56" customWidth="1"/>
    <col min="4623" max="4623" width="14.83203125" style="56" customWidth="1"/>
    <col min="4624" max="4625" width="11.5" style="56" customWidth="1"/>
    <col min="4626" max="4626" width="6.1640625" style="56" customWidth="1"/>
    <col min="4627" max="4627" width="22.83203125" style="56" customWidth="1"/>
    <col min="4628" max="4628" width="11.5" style="56" customWidth="1"/>
    <col min="4629" max="4629" width="13.83203125" style="56" customWidth="1"/>
    <col min="4630" max="4630" width="5.83203125" style="56" customWidth="1"/>
    <col min="4631" max="4631" width="15.5" style="56" customWidth="1"/>
    <col min="4632" max="4872" width="11.5" style="56"/>
    <col min="4873" max="4873" width="0.5" style="56" customWidth="1"/>
    <col min="4874" max="4874" width="3.1640625" style="56" customWidth="1"/>
    <col min="4875" max="4875" width="8.83203125" style="56" customWidth="1"/>
    <col min="4876" max="4876" width="14.83203125" style="56" customWidth="1"/>
    <col min="4877" max="4878" width="6.5" style="56" customWidth="1"/>
    <col min="4879" max="4879" width="14.83203125" style="56" customWidth="1"/>
    <col min="4880" max="4881" width="11.5" style="56" customWidth="1"/>
    <col min="4882" max="4882" width="6.1640625" style="56" customWidth="1"/>
    <col min="4883" max="4883" width="22.83203125" style="56" customWidth="1"/>
    <col min="4884" max="4884" width="11.5" style="56" customWidth="1"/>
    <col min="4885" max="4885" width="13.83203125" style="56" customWidth="1"/>
    <col min="4886" max="4886" width="5.83203125" style="56" customWidth="1"/>
    <col min="4887" max="4887" width="15.5" style="56" customWidth="1"/>
    <col min="4888" max="5128" width="11.5" style="56"/>
    <col min="5129" max="5129" width="0.5" style="56" customWidth="1"/>
    <col min="5130" max="5130" width="3.1640625" style="56" customWidth="1"/>
    <col min="5131" max="5131" width="8.83203125" style="56" customWidth="1"/>
    <col min="5132" max="5132" width="14.83203125" style="56" customWidth="1"/>
    <col min="5133" max="5134" width="6.5" style="56" customWidth="1"/>
    <col min="5135" max="5135" width="14.83203125" style="56" customWidth="1"/>
    <col min="5136" max="5137" width="11.5" style="56" customWidth="1"/>
    <col min="5138" max="5138" width="6.1640625" style="56" customWidth="1"/>
    <col min="5139" max="5139" width="22.83203125" style="56" customWidth="1"/>
    <col min="5140" max="5140" width="11.5" style="56" customWidth="1"/>
    <col min="5141" max="5141" width="13.83203125" style="56" customWidth="1"/>
    <col min="5142" max="5142" width="5.83203125" style="56" customWidth="1"/>
    <col min="5143" max="5143" width="15.5" style="56" customWidth="1"/>
    <col min="5144" max="5384" width="11.5" style="56"/>
    <col min="5385" max="5385" width="0.5" style="56" customWidth="1"/>
    <col min="5386" max="5386" width="3.1640625" style="56" customWidth="1"/>
    <col min="5387" max="5387" width="8.83203125" style="56" customWidth="1"/>
    <col min="5388" max="5388" width="14.83203125" style="56" customWidth="1"/>
    <col min="5389" max="5390" width="6.5" style="56" customWidth="1"/>
    <col min="5391" max="5391" width="14.83203125" style="56" customWidth="1"/>
    <col min="5392" max="5393" width="11.5" style="56" customWidth="1"/>
    <col min="5394" max="5394" width="6.1640625" style="56" customWidth="1"/>
    <col min="5395" max="5395" width="22.83203125" style="56" customWidth="1"/>
    <col min="5396" max="5396" width="11.5" style="56" customWidth="1"/>
    <col min="5397" max="5397" width="13.83203125" style="56" customWidth="1"/>
    <col min="5398" max="5398" width="5.83203125" style="56" customWidth="1"/>
    <col min="5399" max="5399" width="15.5" style="56" customWidth="1"/>
    <col min="5400" max="5640" width="11.5" style="56"/>
    <col min="5641" max="5641" width="0.5" style="56" customWidth="1"/>
    <col min="5642" max="5642" width="3.1640625" style="56" customWidth="1"/>
    <col min="5643" max="5643" width="8.83203125" style="56" customWidth="1"/>
    <col min="5644" max="5644" width="14.83203125" style="56" customWidth="1"/>
    <col min="5645" max="5646" width="6.5" style="56" customWidth="1"/>
    <col min="5647" max="5647" width="14.83203125" style="56" customWidth="1"/>
    <col min="5648" max="5649" width="11.5" style="56" customWidth="1"/>
    <col min="5650" max="5650" width="6.1640625" style="56" customWidth="1"/>
    <col min="5651" max="5651" width="22.83203125" style="56" customWidth="1"/>
    <col min="5652" max="5652" width="11.5" style="56" customWidth="1"/>
    <col min="5653" max="5653" width="13.83203125" style="56" customWidth="1"/>
    <col min="5654" max="5654" width="5.83203125" style="56" customWidth="1"/>
    <col min="5655" max="5655" width="15.5" style="56" customWidth="1"/>
    <col min="5656" max="5896" width="11.5" style="56"/>
    <col min="5897" max="5897" width="0.5" style="56" customWidth="1"/>
    <col min="5898" max="5898" width="3.1640625" style="56" customWidth="1"/>
    <col min="5899" max="5899" width="8.83203125" style="56" customWidth="1"/>
    <col min="5900" max="5900" width="14.83203125" style="56" customWidth="1"/>
    <col min="5901" max="5902" width="6.5" style="56" customWidth="1"/>
    <col min="5903" max="5903" width="14.83203125" style="56" customWidth="1"/>
    <col min="5904" max="5905" width="11.5" style="56" customWidth="1"/>
    <col min="5906" max="5906" width="6.1640625" style="56" customWidth="1"/>
    <col min="5907" max="5907" width="22.83203125" style="56" customWidth="1"/>
    <col min="5908" max="5908" width="11.5" style="56" customWidth="1"/>
    <col min="5909" max="5909" width="13.83203125" style="56" customWidth="1"/>
    <col min="5910" max="5910" width="5.83203125" style="56" customWidth="1"/>
    <col min="5911" max="5911" width="15.5" style="56" customWidth="1"/>
    <col min="5912" max="6152" width="11.5" style="56"/>
    <col min="6153" max="6153" width="0.5" style="56" customWidth="1"/>
    <col min="6154" max="6154" width="3.1640625" style="56" customWidth="1"/>
    <col min="6155" max="6155" width="8.83203125" style="56" customWidth="1"/>
    <col min="6156" max="6156" width="14.83203125" style="56" customWidth="1"/>
    <col min="6157" max="6158" width="6.5" style="56" customWidth="1"/>
    <col min="6159" max="6159" width="14.83203125" style="56" customWidth="1"/>
    <col min="6160" max="6161" width="11.5" style="56" customWidth="1"/>
    <col min="6162" max="6162" width="6.1640625" style="56" customWidth="1"/>
    <col min="6163" max="6163" width="22.83203125" style="56" customWidth="1"/>
    <col min="6164" max="6164" width="11.5" style="56" customWidth="1"/>
    <col min="6165" max="6165" width="13.83203125" style="56" customWidth="1"/>
    <col min="6166" max="6166" width="5.83203125" style="56" customWidth="1"/>
    <col min="6167" max="6167" width="15.5" style="56" customWidth="1"/>
    <col min="6168" max="6408" width="11.5" style="56"/>
    <col min="6409" max="6409" width="0.5" style="56" customWidth="1"/>
    <col min="6410" max="6410" width="3.1640625" style="56" customWidth="1"/>
    <col min="6411" max="6411" width="8.83203125" style="56" customWidth="1"/>
    <col min="6412" max="6412" width="14.83203125" style="56" customWidth="1"/>
    <col min="6413" max="6414" width="6.5" style="56" customWidth="1"/>
    <col min="6415" max="6415" width="14.83203125" style="56" customWidth="1"/>
    <col min="6416" max="6417" width="11.5" style="56" customWidth="1"/>
    <col min="6418" max="6418" width="6.1640625" style="56" customWidth="1"/>
    <col min="6419" max="6419" width="22.83203125" style="56" customWidth="1"/>
    <col min="6420" max="6420" width="11.5" style="56" customWidth="1"/>
    <col min="6421" max="6421" width="13.83203125" style="56" customWidth="1"/>
    <col min="6422" max="6422" width="5.83203125" style="56" customWidth="1"/>
    <col min="6423" max="6423" width="15.5" style="56" customWidth="1"/>
    <col min="6424" max="6664" width="11.5" style="56"/>
    <col min="6665" max="6665" width="0.5" style="56" customWidth="1"/>
    <col min="6666" max="6666" width="3.1640625" style="56" customWidth="1"/>
    <col min="6667" max="6667" width="8.83203125" style="56" customWidth="1"/>
    <col min="6668" max="6668" width="14.83203125" style="56" customWidth="1"/>
    <col min="6669" max="6670" width="6.5" style="56" customWidth="1"/>
    <col min="6671" max="6671" width="14.83203125" style="56" customWidth="1"/>
    <col min="6672" max="6673" width="11.5" style="56" customWidth="1"/>
    <col min="6674" max="6674" width="6.1640625" style="56" customWidth="1"/>
    <col min="6675" max="6675" width="22.83203125" style="56" customWidth="1"/>
    <col min="6676" max="6676" width="11.5" style="56" customWidth="1"/>
    <col min="6677" max="6677" width="13.83203125" style="56" customWidth="1"/>
    <col min="6678" max="6678" width="5.83203125" style="56" customWidth="1"/>
    <col min="6679" max="6679" width="15.5" style="56" customWidth="1"/>
    <col min="6680" max="6920" width="11.5" style="56"/>
    <col min="6921" max="6921" width="0.5" style="56" customWidth="1"/>
    <col min="6922" max="6922" width="3.1640625" style="56" customWidth="1"/>
    <col min="6923" max="6923" width="8.83203125" style="56" customWidth="1"/>
    <col min="6924" max="6924" width="14.83203125" style="56" customWidth="1"/>
    <col min="6925" max="6926" width="6.5" style="56" customWidth="1"/>
    <col min="6927" max="6927" width="14.83203125" style="56" customWidth="1"/>
    <col min="6928" max="6929" width="11.5" style="56" customWidth="1"/>
    <col min="6930" max="6930" width="6.1640625" style="56" customWidth="1"/>
    <col min="6931" max="6931" width="22.83203125" style="56" customWidth="1"/>
    <col min="6932" max="6932" width="11.5" style="56" customWidth="1"/>
    <col min="6933" max="6933" width="13.83203125" style="56" customWidth="1"/>
    <col min="6934" max="6934" width="5.83203125" style="56" customWidth="1"/>
    <col min="6935" max="6935" width="15.5" style="56" customWidth="1"/>
    <col min="6936" max="7176" width="11.5" style="56"/>
    <col min="7177" max="7177" width="0.5" style="56" customWidth="1"/>
    <col min="7178" max="7178" width="3.1640625" style="56" customWidth="1"/>
    <col min="7179" max="7179" width="8.83203125" style="56" customWidth="1"/>
    <col min="7180" max="7180" width="14.83203125" style="56" customWidth="1"/>
    <col min="7181" max="7182" width="6.5" style="56" customWidth="1"/>
    <col min="7183" max="7183" width="14.83203125" style="56" customWidth="1"/>
    <col min="7184" max="7185" width="11.5" style="56" customWidth="1"/>
    <col min="7186" max="7186" width="6.1640625" style="56" customWidth="1"/>
    <col min="7187" max="7187" width="22.83203125" style="56" customWidth="1"/>
    <col min="7188" max="7188" width="11.5" style="56" customWidth="1"/>
    <col min="7189" max="7189" width="13.83203125" style="56" customWidth="1"/>
    <col min="7190" max="7190" width="5.83203125" style="56" customWidth="1"/>
    <col min="7191" max="7191" width="15.5" style="56" customWidth="1"/>
    <col min="7192" max="7432" width="11.5" style="56"/>
    <col min="7433" max="7433" width="0.5" style="56" customWidth="1"/>
    <col min="7434" max="7434" width="3.1640625" style="56" customWidth="1"/>
    <col min="7435" max="7435" width="8.83203125" style="56" customWidth="1"/>
    <col min="7436" max="7436" width="14.83203125" style="56" customWidth="1"/>
    <col min="7437" max="7438" width="6.5" style="56" customWidth="1"/>
    <col min="7439" max="7439" width="14.83203125" style="56" customWidth="1"/>
    <col min="7440" max="7441" width="11.5" style="56" customWidth="1"/>
    <col min="7442" max="7442" width="6.1640625" style="56" customWidth="1"/>
    <col min="7443" max="7443" width="22.83203125" style="56" customWidth="1"/>
    <col min="7444" max="7444" width="11.5" style="56" customWidth="1"/>
    <col min="7445" max="7445" width="13.83203125" style="56" customWidth="1"/>
    <col min="7446" max="7446" width="5.83203125" style="56" customWidth="1"/>
    <col min="7447" max="7447" width="15.5" style="56" customWidth="1"/>
    <col min="7448" max="7688" width="11.5" style="56"/>
    <col min="7689" max="7689" width="0.5" style="56" customWidth="1"/>
    <col min="7690" max="7690" width="3.1640625" style="56" customWidth="1"/>
    <col min="7691" max="7691" width="8.83203125" style="56" customWidth="1"/>
    <col min="7692" max="7692" width="14.83203125" style="56" customWidth="1"/>
    <col min="7693" max="7694" width="6.5" style="56" customWidth="1"/>
    <col min="7695" max="7695" width="14.83203125" style="56" customWidth="1"/>
    <col min="7696" max="7697" width="11.5" style="56" customWidth="1"/>
    <col min="7698" max="7698" width="6.1640625" style="56" customWidth="1"/>
    <col min="7699" max="7699" width="22.83203125" style="56" customWidth="1"/>
    <col min="7700" max="7700" width="11.5" style="56" customWidth="1"/>
    <col min="7701" max="7701" width="13.83203125" style="56" customWidth="1"/>
    <col min="7702" max="7702" width="5.83203125" style="56" customWidth="1"/>
    <col min="7703" max="7703" width="15.5" style="56" customWidth="1"/>
    <col min="7704" max="7944" width="11.5" style="56"/>
    <col min="7945" max="7945" width="0.5" style="56" customWidth="1"/>
    <col min="7946" max="7946" width="3.1640625" style="56" customWidth="1"/>
    <col min="7947" max="7947" width="8.83203125" style="56" customWidth="1"/>
    <col min="7948" max="7948" width="14.83203125" style="56" customWidth="1"/>
    <col min="7949" max="7950" width="6.5" style="56" customWidth="1"/>
    <col min="7951" max="7951" width="14.83203125" style="56" customWidth="1"/>
    <col min="7952" max="7953" width="11.5" style="56" customWidth="1"/>
    <col min="7954" max="7954" width="6.1640625" style="56" customWidth="1"/>
    <col min="7955" max="7955" width="22.83203125" style="56" customWidth="1"/>
    <col min="7956" max="7956" width="11.5" style="56" customWidth="1"/>
    <col min="7957" max="7957" width="13.83203125" style="56" customWidth="1"/>
    <col min="7958" max="7958" width="5.83203125" style="56" customWidth="1"/>
    <col min="7959" max="7959" width="15.5" style="56" customWidth="1"/>
    <col min="7960" max="8200" width="11.5" style="56"/>
    <col min="8201" max="8201" width="0.5" style="56" customWidth="1"/>
    <col min="8202" max="8202" width="3.1640625" style="56" customWidth="1"/>
    <col min="8203" max="8203" width="8.83203125" style="56" customWidth="1"/>
    <col min="8204" max="8204" width="14.83203125" style="56" customWidth="1"/>
    <col min="8205" max="8206" width="6.5" style="56" customWidth="1"/>
    <col min="8207" max="8207" width="14.83203125" style="56" customWidth="1"/>
    <col min="8208" max="8209" width="11.5" style="56" customWidth="1"/>
    <col min="8210" max="8210" width="6.1640625" style="56" customWidth="1"/>
    <col min="8211" max="8211" width="22.83203125" style="56" customWidth="1"/>
    <col min="8212" max="8212" width="11.5" style="56" customWidth="1"/>
    <col min="8213" max="8213" width="13.83203125" style="56" customWidth="1"/>
    <col min="8214" max="8214" width="5.83203125" style="56" customWidth="1"/>
    <col min="8215" max="8215" width="15.5" style="56" customWidth="1"/>
    <col min="8216" max="8456" width="11.5" style="56"/>
    <col min="8457" max="8457" width="0.5" style="56" customWidth="1"/>
    <col min="8458" max="8458" width="3.1640625" style="56" customWidth="1"/>
    <col min="8459" max="8459" width="8.83203125" style="56" customWidth="1"/>
    <col min="8460" max="8460" width="14.83203125" style="56" customWidth="1"/>
    <col min="8461" max="8462" width="6.5" style="56" customWidth="1"/>
    <col min="8463" max="8463" width="14.83203125" style="56" customWidth="1"/>
    <col min="8464" max="8465" width="11.5" style="56" customWidth="1"/>
    <col min="8466" max="8466" width="6.1640625" style="56" customWidth="1"/>
    <col min="8467" max="8467" width="22.83203125" style="56" customWidth="1"/>
    <col min="8468" max="8468" width="11.5" style="56" customWidth="1"/>
    <col min="8469" max="8469" width="13.83203125" style="56" customWidth="1"/>
    <col min="8470" max="8470" width="5.83203125" style="56" customWidth="1"/>
    <col min="8471" max="8471" width="15.5" style="56" customWidth="1"/>
    <col min="8472" max="8712" width="11.5" style="56"/>
    <col min="8713" max="8713" width="0.5" style="56" customWidth="1"/>
    <col min="8714" max="8714" width="3.1640625" style="56" customWidth="1"/>
    <col min="8715" max="8715" width="8.83203125" style="56" customWidth="1"/>
    <col min="8716" max="8716" width="14.83203125" style="56" customWidth="1"/>
    <col min="8717" max="8718" width="6.5" style="56" customWidth="1"/>
    <col min="8719" max="8719" width="14.83203125" style="56" customWidth="1"/>
    <col min="8720" max="8721" width="11.5" style="56" customWidth="1"/>
    <col min="8722" max="8722" width="6.1640625" style="56" customWidth="1"/>
    <col min="8723" max="8723" width="22.83203125" style="56" customWidth="1"/>
    <col min="8724" max="8724" width="11.5" style="56" customWidth="1"/>
    <col min="8725" max="8725" width="13.83203125" style="56" customWidth="1"/>
    <col min="8726" max="8726" width="5.83203125" style="56" customWidth="1"/>
    <col min="8727" max="8727" width="15.5" style="56" customWidth="1"/>
    <col min="8728" max="8968" width="11.5" style="56"/>
    <col min="8969" max="8969" width="0.5" style="56" customWidth="1"/>
    <col min="8970" max="8970" width="3.1640625" style="56" customWidth="1"/>
    <col min="8971" max="8971" width="8.83203125" style="56" customWidth="1"/>
    <col min="8972" max="8972" width="14.83203125" style="56" customWidth="1"/>
    <col min="8973" max="8974" width="6.5" style="56" customWidth="1"/>
    <col min="8975" max="8975" width="14.83203125" style="56" customWidth="1"/>
    <col min="8976" max="8977" width="11.5" style="56" customWidth="1"/>
    <col min="8978" max="8978" width="6.1640625" style="56" customWidth="1"/>
    <col min="8979" max="8979" width="22.83203125" style="56" customWidth="1"/>
    <col min="8980" max="8980" width="11.5" style="56" customWidth="1"/>
    <col min="8981" max="8981" width="13.83203125" style="56" customWidth="1"/>
    <col min="8982" max="8982" width="5.83203125" style="56" customWidth="1"/>
    <col min="8983" max="8983" width="15.5" style="56" customWidth="1"/>
    <col min="8984" max="9224" width="11.5" style="56"/>
    <col min="9225" max="9225" width="0.5" style="56" customWidth="1"/>
    <col min="9226" max="9226" width="3.1640625" style="56" customWidth="1"/>
    <col min="9227" max="9227" width="8.83203125" style="56" customWidth="1"/>
    <col min="9228" max="9228" width="14.83203125" style="56" customWidth="1"/>
    <col min="9229" max="9230" width="6.5" style="56" customWidth="1"/>
    <col min="9231" max="9231" width="14.83203125" style="56" customWidth="1"/>
    <col min="9232" max="9233" width="11.5" style="56" customWidth="1"/>
    <col min="9234" max="9234" width="6.1640625" style="56" customWidth="1"/>
    <col min="9235" max="9235" width="22.83203125" style="56" customWidth="1"/>
    <col min="9236" max="9236" width="11.5" style="56" customWidth="1"/>
    <col min="9237" max="9237" width="13.83203125" style="56" customWidth="1"/>
    <col min="9238" max="9238" width="5.83203125" style="56" customWidth="1"/>
    <col min="9239" max="9239" width="15.5" style="56" customWidth="1"/>
    <col min="9240" max="9480" width="11.5" style="56"/>
    <col min="9481" max="9481" width="0.5" style="56" customWidth="1"/>
    <col min="9482" max="9482" width="3.1640625" style="56" customWidth="1"/>
    <col min="9483" max="9483" width="8.83203125" style="56" customWidth="1"/>
    <col min="9484" max="9484" width="14.83203125" style="56" customWidth="1"/>
    <col min="9485" max="9486" width="6.5" style="56" customWidth="1"/>
    <col min="9487" max="9487" width="14.83203125" style="56" customWidth="1"/>
    <col min="9488" max="9489" width="11.5" style="56" customWidth="1"/>
    <col min="9490" max="9490" width="6.1640625" style="56" customWidth="1"/>
    <col min="9491" max="9491" width="22.83203125" style="56" customWidth="1"/>
    <col min="9492" max="9492" width="11.5" style="56" customWidth="1"/>
    <col min="9493" max="9493" width="13.83203125" style="56" customWidth="1"/>
    <col min="9494" max="9494" width="5.83203125" style="56" customWidth="1"/>
    <col min="9495" max="9495" width="15.5" style="56" customWidth="1"/>
    <col min="9496" max="9736" width="11.5" style="56"/>
    <col min="9737" max="9737" width="0.5" style="56" customWidth="1"/>
    <col min="9738" max="9738" width="3.1640625" style="56" customWidth="1"/>
    <col min="9739" max="9739" width="8.83203125" style="56" customWidth="1"/>
    <col min="9740" max="9740" width="14.83203125" style="56" customWidth="1"/>
    <col min="9741" max="9742" width="6.5" style="56" customWidth="1"/>
    <col min="9743" max="9743" width="14.83203125" style="56" customWidth="1"/>
    <col min="9744" max="9745" width="11.5" style="56" customWidth="1"/>
    <col min="9746" max="9746" width="6.1640625" style="56" customWidth="1"/>
    <col min="9747" max="9747" width="22.83203125" style="56" customWidth="1"/>
    <col min="9748" max="9748" width="11.5" style="56" customWidth="1"/>
    <col min="9749" max="9749" width="13.83203125" style="56" customWidth="1"/>
    <col min="9750" max="9750" width="5.83203125" style="56" customWidth="1"/>
    <col min="9751" max="9751" width="15.5" style="56" customWidth="1"/>
    <col min="9752" max="9992" width="11.5" style="56"/>
    <col min="9993" max="9993" width="0.5" style="56" customWidth="1"/>
    <col min="9994" max="9994" width="3.1640625" style="56" customWidth="1"/>
    <col min="9995" max="9995" width="8.83203125" style="56" customWidth="1"/>
    <col min="9996" max="9996" width="14.83203125" style="56" customWidth="1"/>
    <col min="9997" max="9998" width="6.5" style="56" customWidth="1"/>
    <col min="9999" max="9999" width="14.83203125" style="56" customWidth="1"/>
    <col min="10000" max="10001" width="11.5" style="56" customWidth="1"/>
    <col min="10002" max="10002" width="6.1640625" style="56" customWidth="1"/>
    <col min="10003" max="10003" width="22.83203125" style="56" customWidth="1"/>
    <col min="10004" max="10004" width="11.5" style="56" customWidth="1"/>
    <col min="10005" max="10005" width="13.83203125" style="56" customWidth="1"/>
    <col min="10006" max="10006" width="5.83203125" style="56" customWidth="1"/>
    <col min="10007" max="10007" width="15.5" style="56" customWidth="1"/>
    <col min="10008" max="10248" width="11.5" style="56"/>
    <col min="10249" max="10249" width="0.5" style="56" customWidth="1"/>
    <col min="10250" max="10250" width="3.1640625" style="56" customWidth="1"/>
    <col min="10251" max="10251" width="8.83203125" style="56" customWidth="1"/>
    <col min="10252" max="10252" width="14.83203125" style="56" customWidth="1"/>
    <col min="10253" max="10254" width="6.5" style="56" customWidth="1"/>
    <col min="10255" max="10255" width="14.83203125" style="56" customWidth="1"/>
    <col min="10256" max="10257" width="11.5" style="56" customWidth="1"/>
    <col min="10258" max="10258" width="6.1640625" style="56" customWidth="1"/>
    <col min="10259" max="10259" width="22.83203125" style="56" customWidth="1"/>
    <col min="10260" max="10260" width="11.5" style="56" customWidth="1"/>
    <col min="10261" max="10261" width="13.83203125" style="56" customWidth="1"/>
    <col min="10262" max="10262" width="5.83203125" style="56" customWidth="1"/>
    <col min="10263" max="10263" width="15.5" style="56" customWidth="1"/>
    <col min="10264" max="10504" width="11.5" style="56"/>
    <col min="10505" max="10505" width="0.5" style="56" customWidth="1"/>
    <col min="10506" max="10506" width="3.1640625" style="56" customWidth="1"/>
    <col min="10507" max="10507" width="8.83203125" style="56" customWidth="1"/>
    <col min="10508" max="10508" width="14.83203125" style="56" customWidth="1"/>
    <col min="10509" max="10510" width="6.5" style="56" customWidth="1"/>
    <col min="10511" max="10511" width="14.83203125" style="56" customWidth="1"/>
    <col min="10512" max="10513" width="11.5" style="56" customWidth="1"/>
    <col min="10514" max="10514" width="6.1640625" style="56" customWidth="1"/>
    <col min="10515" max="10515" width="22.83203125" style="56" customWidth="1"/>
    <col min="10516" max="10516" width="11.5" style="56" customWidth="1"/>
    <col min="10517" max="10517" width="13.83203125" style="56" customWidth="1"/>
    <col min="10518" max="10518" width="5.83203125" style="56" customWidth="1"/>
    <col min="10519" max="10519" width="15.5" style="56" customWidth="1"/>
    <col min="10520" max="10760" width="11.5" style="56"/>
    <col min="10761" max="10761" width="0.5" style="56" customWidth="1"/>
    <col min="10762" max="10762" width="3.1640625" style="56" customWidth="1"/>
    <col min="10763" max="10763" width="8.83203125" style="56" customWidth="1"/>
    <col min="10764" max="10764" width="14.83203125" style="56" customWidth="1"/>
    <col min="10765" max="10766" width="6.5" style="56" customWidth="1"/>
    <col min="10767" max="10767" width="14.83203125" style="56" customWidth="1"/>
    <col min="10768" max="10769" width="11.5" style="56" customWidth="1"/>
    <col min="10770" max="10770" width="6.1640625" style="56" customWidth="1"/>
    <col min="10771" max="10771" width="22.83203125" style="56" customWidth="1"/>
    <col min="10772" max="10772" width="11.5" style="56" customWidth="1"/>
    <col min="10773" max="10773" width="13.83203125" style="56" customWidth="1"/>
    <col min="10774" max="10774" width="5.83203125" style="56" customWidth="1"/>
    <col min="10775" max="10775" width="15.5" style="56" customWidth="1"/>
    <col min="10776" max="11016" width="11.5" style="56"/>
    <col min="11017" max="11017" width="0.5" style="56" customWidth="1"/>
    <col min="11018" max="11018" width="3.1640625" style="56" customWidth="1"/>
    <col min="11019" max="11019" width="8.83203125" style="56" customWidth="1"/>
    <col min="11020" max="11020" width="14.83203125" style="56" customWidth="1"/>
    <col min="11021" max="11022" width="6.5" style="56" customWidth="1"/>
    <col min="11023" max="11023" width="14.83203125" style="56" customWidth="1"/>
    <col min="11024" max="11025" width="11.5" style="56" customWidth="1"/>
    <col min="11026" max="11026" width="6.1640625" style="56" customWidth="1"/>
    <col min="11027" max="11027" width="22.83203125" style="56" customWidth="1"/>
    <col min="11028" max="11028" width="11.5" style="56" customWidth="1"/>
    <col min="11029" max="11029" width="13.83203125" style="56" customWidth="1"/>
    <col min="11030" max="11030" width="5.83203125" style="56" customWidth="1"/>
    <col min="11031" max="11031" width="15.5" style="56" customWidth="1"/>
    <col min="11032" max="11272" width="11.5" style="56"/>
    <col min="11273" max="11273" width="0.5" style="56" customWidth="1"/>
    <col min="11274" max="11274" width="3.1640625" style="56" customWidth="1"/>
    <col min="11275" max="11275" width="8.83203125" style="56" customWidth="1"/>
    <col min="11276" max="11276" width="14.83203125" style="56" customWidth="1"/>
    <col min="11277" max="11278" width="6.5" style="56" customWidth="1"/>
    <col min="11279" max="11279" width="14.83203125" style="56" customWidth="1"/>
    <col min="11280" max="11281" width="11.5" style="56" customWidth="1"/>
    <col min="11282" max="11282" width="6.1640625" style="56" customWidth="1"/>
    <col min="11283" max="11283" width="22.83203125" style="56" customWidth="1"/>
    <col min="11284" max="11284" width="11.5" style="56" customWidth="1"/>
    <col min="11285" max="11285" width="13.83203125" style="56" customWidth="1"/>
    <col min="11286" max="11286" width="5.83203125" style="56" customWidth="1"/>
    <col min="11287" max="11287" width="15.5" style="56" customWidth="1"/>
    <col min="11288" max="11528" width="11.5" style="56"/>
    <col min="11529" max="11529" width="0.5" style="56" customWidth="1"/>
    <col min="11530" max="11530" width="3.1640625" style="56" customWidth="1"/>
    <col min="11531" max="11531" width="8.83203125" style="56" customWidth="1"/>
    <col min="11532" max="11532" width="14.83203125" style="56" customWidth="1"/>
    <col min="11533" max="11534" width="6.5" style="56" customWidth="1"/>
    <col min="11535" max="11535" width="14.83203125" style="56" customWidth="1"/>
    <col min="11536" max="11537" width="11.5" style="56" customWidth="1"/>
    <col min="11538" max="11538" width="6.1640625" style="56" customWidth="1"/>
    <col min="11539" max="11539" width="22.83203125" style="56" customWidth="1"/>
    <col min="11540" max="11540" width="11.5" style="56" customWidth="1"/>
    <col min="11541" max="11541" width="13.83203125" style="56" customWidth="1"/>
    <col min="11542" max="11542" width="5.83203125" style="56" customWidth="1"/>
    <col min="11543" max="11543" width="15.5" style="56" customWidth="1"/>
    <col min="11544" max="11784" width="11.5" style="56"/>
    <col min="11785" max="11785" width="0.5" style="56" customWidth="1"/>
    <col min="11786" max="11786" width="3.1640625" style="56" customWidth="1"/>
    <col min="11787" max="11787" width="8.83203125" style="56" customWidth="1"/>
    <col min="11788" max="11788" width="14.83203125" style="56" customWidth="1"/>
    <col min="11789" max="11790" width="6.5" style="56" customWidth="1"/>
    <col min="11791" max="11791" width="14.83203125" style="56" customWidth="1"/>
    <col min="11792" max="11793" width="11.5" style="56" customWidth="1"/>
    <col min="11794" max="11794" width="6.1640625" style="56" customWidth="1"/>
    <col min="11795" max="11795" width="22.83203125" style="56" customWidth="1"/>
    <col min="11796" max="11796" width="11.5" style="56" customWidth="1"/>
    <col min="11797" max="11797" width="13.83203125" style="56" customWidth="1"/>
    <col min="11798" max="11798" width="5.83203125" style="56" customWidth="1"/>
    <col min="11799" max="11799" width="15.5" style="56" customWidth="1"/>
    <col min="11800" max="12040" width="11.5" style="56"/>
    <col min="12041" max="12041" width="0.5" style="56" customWidth="1"/>
    <col min="12042" max="12042" width="3.1640625" style="56" customWidth="1"/>
    <col min="12043" max="12043" width="8.83203125" style="56" customWidth="1"/>
    <col min="12044" max="12044" width="14.83203125" style="56" customWidth="1"/>
    <col min="12045" max="12046" width="6.5" style="56" customWidth="1"/>
    <col min="12047" max="12047" width="14.83203125" style="56" customWidth="1"/>
    <col min="12048" max="12049" width="11.5" style="56" customWidth="1"/>
    <col min="12050" max="12050" width="6.1640625" style="56" customWidth="1"/>
    <col min="12051" max="12051" width="22.83203125" style="56" customWidth="1"/>
    <col min="12052" max="12052" width="11.5" style="56" customWidth="1"/>
    <col min="12053" max="12053" width="13.83203125" style="56" customWidth="1"/>
    <col min="12054" max="12054" width="5.83203125" style="56" customWidth="1"/>
    <col min="12055" max="12055" width="15.5" style="56" customWidth="1"/>
    <col min="12056" max="12296" width="11.5" style="56"/>
    <col min="12297" max="12297" width="0.5" style="56" customWidth="1"/>
    <col min="12298" max="12298" width="3.1640625" style="56" customWidth="1"/>
    <col min="12299" max="12299" width="8.83203125" style="56" customWidth="1"/>
    <col min="12300" max="12300" width="14.83203125" style="56" customWidth="1"/>
    <col min="12301" max="12302" width="6.5" style="56" customWidth="1"/>
    <col min="12303" max="12303" width="14.83203125" style="56" customWidth="1"/>
    <col min="12304" max="12305" width="11.5" style="56" customWidth="1"/>
    <col min="12306" max="12306" width="6.1640625" style="56" customWidth="1"/>
    <col min="12307" max="12307" width="22.83203125" style="56" customWidth="1"/>
    <col min="12308" max="12308" width="11.5" style="56" customWidth="1"/>
    <col min="12309" max="12309" width="13.83203125" style="56" customWidth="1"/>
    <col min="12310" max="12310" width="5.83203125" style="56" customWidth="1"/>
    <col min="12311" max="12311" width="15.5" style="56" customWidth="1"/>
    <col min="12312" max="12552" width="11.5" style="56"/>
    <col min="12553" max="12553" width="0.5" style="56" customWidth="1"/>
    <col min="12554" max="12554" width="3.1640625" style="56" customWidth="1"/>
    <col min="12555" max="12555" width="8.83203125" style="56" customWidth="1"/>
    <col min="12556" max="12556" width="14.83203125" style="56" customWidth="1"/>
    <col min="12557" max="12558" width="6.5" style="56" customWidth="1"/>
    <col min="12559" max="12559" width="14.83203125" style="56" customWidth="1"/>
    <col min="12560" max="12561" width="11.5" style="56" customWidth="1"/>
    <col min="12562" max="12562" width="6.1640625" style="56" customWidth="1"/>
    <col min="12563" max="12563" width="22.83203125" style="56" customWidth="1"/>
    <col min="12564" max="12564" width="11.5" style="56" customWidth="1"/>
    <col min="12565" max="12565" width="13.83203125" style="56" customWidth="1"/>
    <col min="12566" max="12566" width="5.83203125" style="56" customWidth="1"/>
    <col min="12567" max="12567" width="15.5" style="56" customWidth="1"/>
    <col min="12568" max="12808" width="11.5" style="56"/>
    <col min="12809" max="12809" width="0.5" style="56" customWidth="1"/>
    <col min="12810" max="12810" width="3.1640625" style="56" customWidth="1"/>
    <col min="12811" max="12811" width="8.83203125" style="56" customWidth="1"/>
    <col min="12812" max="12812" width="14.83203125" style="56" customWidth="1"/>
    <col min="12813" max="12814" width="6.5" style="56" customWidth="1"/>
    <col min="12815" max="12815" width="14.83203125" style="56" customWidth="1"/>
    <col min="12816" max="12817" width="11.5" style="56" customWidth="1"/>
    <col min="12818" max="12818" width="6.1640625" style="56" customWidth="1"/>
    <col min="12819" max="12819" width="22.83203125" style="56" customWidth="1"/>
    <col min="12820" max="12820" width="11.5" style="56" customWidth="1"/>
    <col min="12821" max="12821" width="13.83203125" style="56" customWidth="1"/>
    <col min="12822" max="12822" width="5.83203125" style="56" customWidth="1"/>
    <col min="12823" max="12823" width="15.5" style="56" customWidth="1"/>
    <col min="12824" max="13064" width="11.5" style="56"/>
    <col min="13065" max="13065" width="0.5" style="56" customWidth="1"/>
    <col min="13066" max="13066" width="3.1640625" style="56" customWidth="1"/>
    <col min="13067" max="13067" width="8.83203125" style="56" customWidth="1"/>
    <col min="13068" max="13068" width="14.83203125" style="56" customWidth="1"/>
    <col min="13069" max="13070" width="6.5" style="56" customWidth="1"/>
    <col min="13071" max="13071" width="14.83203125" style="56" customWidth="1"/>
    <col min="13072" max="13073" width="11.5" style="56" customWidth="1"/>
    <col min="13074" max="13074" width="6.1640625" style="56" customWidth="1"/>
    <col min="13075" max="13075" width="22.83203125" style="56" customWidth="1"/>
    <col min="13076" max="13076" width="11.5" style="56" customWidth="1"/>
    <col min="13077" max="13077" width="13.83203125" style="56" customWidth="1"/>
    <col min="13078" max="13078" width="5.83203125" style="56" customWidth="1"/>
    <col min="13079" max="13079" width="15.5" style="56" customWidth="1"/>
    <col min="13080" max="13320" width="11.5" style="56"/>
    <col min="13321" max="13321" width="0.5" style="56" customWidth="1"/>
    <col min="13322" max="13322" width="3.1640625" style="56" customWidth="1"/>
    <col min="13323" max="13323" width="8.83203125" style="56" customWidth="1"/>
    <col min="13324" max="13324" width="14.83203125" style="56" customWidth="1"/>
    <col min="13325" max="13326" width="6.5" style="56" customWidth="1"/>
    <col min="13327" max="13327" width="14.83203125" style="56" customWidth="1"/>
    <col min="13328" max="13329" width="11.5" style="56" customWidth="1"/>
    <col min="13330" max="13330" width="6.1640625" style="56" customWidth="1"/>
    <col min="13331" max="13331" width="22.83203125" style="56" customWidth="1"/>
    <col min="13332" max="13332" width="11.5" style="56" customWidth="1"/>
    <col min="13333" max="13333" width="13.83203125" style="56" customWidth="1"/>
    <col min="13334" max="13334" width="5.83203125" style="56" customWidth="1"/>
    <col min="13335" max="13335" width="15.5" style="56" customWidth="1"/>
    <col min="13336" max="13576" width="11.5" style="56"/>
    <col min="13577" max="13577" width="0.5" style="56" customWidth="1"/>
    <col min="13578" max="13578" width="3.1640625" style="56" customWidth="1"/>
    <col min="13579" max="13579" width="8.83203125" style="56" customWidth="1"/>
    <col min="13580" max="13580" width="14.83203125" style="56" customWidth="1"/>
    <col min="13581" max="13582" width="6.5" style="56" customWidth="1"/>
    <col min="13583" max="13583" width="14.83203125" style="56" customWidth="1"/>
    <col min="13584" max="13585" width="11.5" style="56" customWidth="1"/>
    <col min="13586" max="13586" width="6.1640625" style="56" customWidth="1"/>
    <col min="13587" max="13587" width="22.83203125" style="56" customWidth="1"/>
    <col min="13588" max="13588" width="11.5" style="56" customWidth="1"/>
    <col min="13589" max="13589" width="13.83203125" style="56" customWidth="1"/>
    <col min="13590" max="13590" width="5.83203125" style="56" customWidth="1"/>
    <col min="13591" max="13591" width="15.5" style="56" customWidth="1"/>
    <col min="13592" max="13832" width="11.5" style="56"/>
    <col min="13833" max="13833" width="0.5" style="56" customWidth="1"/>
    <col min="13834" max="13834" width="3.1640625" style="56" customWidth="1"/>
    <col min="13835" max="13835" width="8.83203125" style="56" customWidth="1"/>
    <col min="13836" max="13836" width="14.83203125" style="56" customWidth="1"/>
    <col min="13837" max="13838" width="6.5" style="56" customWidth="1"/>
    <col min="13839" max="13839" width="14.83203125" style="56" customWidth="1"/>
    <col min="13840" max="13841" width="11.5" style="56" customWidth="1"/>
    <col min="13842" max="13842" width="6.1640625" style="56" customWidth="1"/>
    <col min="13843" max="13843" width="22.83203125" style="56" customWidth="1"/>
    <col min="13844" max="13844" width="11.5" style="56" customWidth="1"/>
    <col min="13845" max="13845" width="13.83203125" style="56" customWidth="1"/>
    <col min="13846" max="13846" width="5.83203125" style="56" customWidth="1"/>
    <col min="13847" max="13847" width="15.5" style="56" customWidth="1"/>
    <col min="13848" max="14088" width="11.5" style="56"/>
    <col min="14089" max="14089" width="0.5" style="56" customWidth="1"/>
    <col min="14090" max="14090" width="3.1640625" style="56" customWidth="1"/>
    <col min="14091" max="14091" width="8.83203125" style="56" customWidth="1"/>
    <col min="14092" max="14092" width="14.83203125" style="56" customWidth="1"/>
    <col min="14093" max="14094" width="6.5" style="56" customWidth="1"/>
    <col min="14095" max="14095" width="14.83203125" style="56" customWidth="1"/>
    <col min="14096" max="14097" width="11.5" style="56" customWidth="1"/>
    <col min="14098" max="14098" width="6.1640625" style="56" customWidth="1"/>
    <col min="14099" max="14099" width="22.83203125" style="56" customWidth="1"/>
    <col min="14100" max="14100" width="11.5" style="56" customWidth="1"/>
    <col min="14101" max="14101" width="13.83203125" style="56" customWidth="1"/>
    <col min="14102" max="14102" width="5.83203125" style="56" customWidth="1"/>
    <col min="14103" max="14103" width="15.5" style="56" customWidth="1"/>
    <col min="14104" max="14344" width="11.5" style="56"/>
    <col min="14345" max="14345" width="0.5" style="56" customWidth="1"/>
    <col min="14346" max="14346" width="3.1640625" style="56" customWidth="1"/>
    <col min="14347" max="14347" width="8.83203125" style="56" customWidth="1"/>
    <col min="14348" max="14348" width="14.83203125" style="56" customWidth="1"/>
    <col min="14349" max="14350" width="6.5" style="56" customWidth="1"/>
    <col min="14351" max="14351" width="14.83203125" style="56" customWidth="1"/>
    <col min="14352" max="14353" width="11.5" style="56" customWidth="1"/>
    <col min="14354" max="14354" width="6.1640625" style="56" customWidth="1"/>
    <col min="14355" max="14355" width="22.83203125" style="56" customWidth="1"/>
    <col min="14356" max="14356" width="11.5" style="56" customWidth="1"/>
    <col min="14357" max="14357" width="13.83203125" style="56" customWidth="1"/>
    <col min="14358" max="14358" width="5.83203125" style="56" customWidth="1"/>
    <col min="14359" max="14359" width="15.5" style="56" customWidth="1"/>
    <col min="14360" max="14600" width="11.5" style="56"/>
    <col min="14601" max="14601" width="0.5" style="56" customWidth="1"/>
    <col min="14602" max="14602" width="3.1640625" style="56" customWidth="1"/>
    <col min="14603" max="14603" width="8.83203125" style="56" customWidth="1"/>
    <col min="14604" max="14604" width="14.83203125" style="56" customWidth="1"/>
    <col min="14605" max="14606" width="6.5" style="56" customWidth="1"/>
    <col min="14607" max="14607" width="14.83203125" style="56" customWidth="1"/>
    <col min="14608" max="14609" width="11.5" style="56" customWidth="1"/>
    <col min="14610" max="14610" width="6.1640625" style="56" customWidth="1"/>
    <col min="14611" max="14611" width="22.83203125" style="56" customWidth="1"/>
    <col min="14612" max="14612" width="11.5" style="56" customWidth="1"/>
    <col min="14613" max="14613" width="13.83203125" style="56" customWidth="1"/>
    <col min="14614" max="14614" width="5.83203125" style="56" customWidth="1"/>
    <col min="14615" max="14615" width="15.5" style="56" customWidth="1"/>
    <col min="14616" max="14856" width="11.5" style="56"/>
    <col min="14857" max="14857" width="0.5" style="56" customWidth="1"/>
    <col min="14858" max="14858" width="3.1640625" style="56" customWidth="1"/>
    <col min="14859" max="14859" width="8.83203125" style="56" customWidth="1"/>
    <col min="14860" max="14860" width="14.83203125" style="56" customWidth="1"/>
    <col min="14861" max="14862" width="6.5" style="56" customWidth="1"/>
    <col min="14863" max="14863" width="14.83203125" style="56" customWidth="1"/>
    <col min="14864" max="14865" width="11.5" style="56" customWidth="1"/>
    <col min="14866" max="14866" width="6.1640625" style="56" customWidth="1"/>
    <col min="14867" max="14867" width="22.83203125" style="56" customWidth="1"/>
    <col min="14868" max="14868" width="11.5" style="56" customWidth="1"/>
    <col min="14869" max="14869" width="13.83203125" style="56" customWidth="1"/>
    <col min="14870" max="14870" width="5.83203125" style="56" customWidth="1"/>
    <col min="14871" max="14871" width="15.5" style="56" customWidth="1"/>
    <col min="14872" max="15112" width="11.5" style="56"/>
    <col min="15113" max="15113" width="0.5" style="56" customWidth="1"/>
    <col min="15114" max="15114" width="3.1640625" style="56" customWidth="1"/>
    <col min="15115" max="15115" width="8.83203125" style="56" customWidth="1"/>
    <col min="15116" max="15116" width="14.83203125" style="56" customWidth="1"/>
    <col min="15117" max="15118" width="6.5" style="56" customWidth="1"/>
    <col min="15119" max="15119" width="14.83203125" style="56" customWidth="1"/>
    <col min="15120" max="15121" width="11.5" style="56" customWidth="1"/>
    <col min="15122" max="15122" width="6.1640625" style="56" customWidth="1"/>
    <col min="15123" max="15123" width="22.83203125" style="56" customWidth="1"/>
    <col min="15124" max="15124" width="11.5" style="56" customWidth="1"/>
    <col min="15125" max="15125" width="13.83203125" style="56" customWidth="1"/>
    <col min="15126" max="15126" width="5.83203125" style="56" customWidth="1"/>
    <col min="15127" max="15127" width="15.5" style="56" customWidth="1"/>
    <col min="15128" max="15368" width="11.5" style="56"/>
    <col min="15369" max="15369" width="0.5" style="56" customWidth="1"/>
    <col min="15370" max="15370" width="3.1640625" style="56" customWidth="1"/>
    <col min="15371" max="15371" width="8.83203125" style="56" customWidth="1"/>
    <col min="15372" max="15372" width="14.83203125" style="56" customWidth="1"/>
    <col min="15373" max="15374" width="6.5" style="56" customWidth="1"/>
    <col min="15375" max="15375" width="14.83203125" style="56" customWidth="1"/>
    <col min="15376" max="15377" width="11.5" style="56" customWidth="1"/>
    <col min="15378" max="15378" width="6.1640625" style="56" customWidth="1"/>
    <col min="15379" max="15379" width="22.83203125" style="56" customWidth="1"/>
    <col min="15380" max="15380" width="11.5" style="56" customWidth="1"/>
    <col min="15381" max="15381" width="13.83203125" style="56" customWidth="1"/>
    <col min="15382" max="15382" width="5.83203125" style="56" customWidth="1"/>
    <col min="15383" max="15383" width="15.5" style="56" customWidth="1"/>
    <col min="15384" max="15624" width="11.5" style="56"/>
    <col min="15625" max="15625" width="0.5" style="56" customWidth="1"/>
    <col min="15626" max="15626" width="3.1640625" style="56" customWidth="1"/>
    <col min="15627" max="15627" width="8.83203125" style="56" customWidth="1"/>
    <col min="15628" max="15628" width="14.83203125" style="56" customWidth="1"/>
    <col min="15629" max="15630" width="6.5" style="56" customWidth="1"/>
    <col min="15631" max="15631" width="14.83203125" style="56" customWidth="1"/>
    <col min="15632" max="15633" width="11.5" style="56" customWidth="1"/>
    <col min="15634" max="15634" width="6.1640625" style="56" customWidth="1"/>
    <col min="15635" max="15635" width="22.83203125" style="56" customWidth="1"/>
    <col min="15636" max="15636" width="11.5" style="56" customWidth="1"/>
    <col min="15637" max="15637" width="13.83203125" style="56" customWidth="1"/>
    <col min="15638" max="15638" width="5.83203125" style="56" customWidth="1"/>
    <col min="15639" max="15639" width="15.5" style="56" customWidth="1"/>
    <col min="15640" max="15880" width="11.5" style="56"/>
    <col min="15881" max="15881" width="0.5" style="56" customWidth="1"/>
    <col min="15882" max="15882" width="3.1640625" style="56" customWidth="1"/>
    <col min="15883" max="15883" width="8.83203125" style="56" customWidth="1"/>
    <col min="15884" max="15884" width="14.83203125" style="56" customWidth="1"/>
    <col min="15885" max="15886" width="6.5" style="56" customWidth="1"/>
    <col min="15887" max="15887" width="14.83203125" style="56" customWidth="1"/>
    <col min="15888" max="15889" width="11.5" style="56" customWidth="1"/>
    <col min="15890" max="15890" width="6.1640625" style="56" customWidth="1"/>
    <col min="15891" max="15891" width="22.83203125" style="56" customWidth="1"/>
    <col min="15892" max="15892" width="11.5" style="56" customWidth="1"/>
    <col min="15893" max="15893" width="13.83203125" style="56" customWidth="1"/>
    <col min="15894" max="15894" width="5.83203125" style="56" customWidth="1"/>
    <col min="15895" max="15895" width="15.5" style="56" customWidth="1"/>
    <col min="15896" max="16136" width="11.5" style="56"/>
    <col min="16137" max="16137" width="0.5" style="56" customWidth="1"/>
    <col min="16138" max="16138" width="3.1640625" style="56" customWidth="1"/>
    <col min="16139" max="16139" width="8.83203125" style="56" customWidth="1"/>
    <col min="16140" max="16140" width="14.83203125" style="56" customWidth="1"/>
    <col min="16141" max="16142" width="6.5" style="56" customWidth="1"/>
    <col min="16143" max="16143" width="14.83203125" style="56" customWidth="1"/>
    <col min="16144" max="16145" width="11.5" style="56" customWidth="1"/>
    <col min="16146" max="16146" width="6.1640625" style="56" customWidth="1"/>
    <col min="16147" max="16147" width="22.83203125" style="56" customWidth="1"/>
    <col min="16148" max="16148" width="11.5" style="56" customWidth="1"/>
    <col min="16149" max="16149" width="13.83203125" style="56" customWidth="1"/>
    <col min="16150" max="16150" width="5.83203125" style="56" customWidth="1"/>
    <col min="16151" max="16151" width="15.5" style="56" customWidth="1"/>
    <col min="16152" max="16384" width="11.5" style="56"/>
  </cols>
  <sheetData>
    <row r="1" spans="1:34" ht="8" customHeight="1">
      <c r="Q1" s="91"/>
      <c r="R1" s="91"/>
    </row>
    <row r="2" spans="1:34" ht="5" customHeight="1" thickBot="1">
      <c r="Q2" s="89"/>
      <c r="R2" s="89"/>
    </row>
    <row r="3" spans="1:34" s="57" customFormat="1" ht="17" customHeight="1">
      <c r="A3" s="472"/>
      <c r="B3" s="576" t="s">
        <v>115</v>
      </c>
      <c r="C3" s="577"/>
      <c r="D3" s="577"/>
      <c r="E3" s="577"/>
      <c r="F3" s="577"/>
      <c r="G3" s="577"/>
      <c r="H3" s="577"/>
      <c r="I3" s="577"/>
      <c r="J3" s="578"/>
      <c r="K3" s="95"/>
      <c r="L3" s="58"/>
      <c r="M3" s="58"/>
      <c r="N3" s="92"/>
      <c r="O3" s="93"/>
      <c r="Q3" s="90"/>
      <c r="R3" s="90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301"/>
    </row>
    <row r="4" spans="1:34" ht="6" customHeight="1" thickBot="1">
      <c r="B4" s="579"/>
      <c r="C4" s="580"/>
      <c r="D4" s="580"/>
      <c r="E4" s="580"/>
      <c r="F4" s="580"/>
      <c r="G4" s="580"/>
      <c r="H4" s="580"/>
      <c r="I4" s="580"/>
      <c r="J4" s="581"/>
      <c r="K4" s="95"/>
      <c r="L4" s="58"/>
      <c r="M4" s="58"/>
      <c r="N4" s="93"/>
      <c r="O4" s="93"/>
      <c r="P4" s="58"/>
      <c r="Q4" s="59"/>
      <c r="R4" s="59"/>
    </row>
    <row r="5" spans="1:34" ht="15" customHeight="1">
      <c r="B5" s="582" t="s">
        <v>283</v>
      </c>
      <c r="C5" s="583"/>
      <c r="D5" s="583"/>
      <c r="E5" s="583"/>
      <c r="F5" s="583" t="s">
        <v>27</v>
      </c>
      <c r="G5" s="583"/>
      <c r="H5" s="583"/>
      <c r="I5" s="583"/>
      <c r="J5" s="589"/>
      <c r="K5" s="584" t="s">
        <v>142</v>
      </c>
      <c r="L5" s="585"/>
      <c r="M5" s="585"/>
      <c r="N5" s="585" t="s">
        <v>365</v>
      </c>
      <c r="O5" s="585"/>
      <c r="P5" s="588"/>
      <c r="Q5" s="345" t="s">
        <v>143</v>
      </c>
      <c r="R5" s="92"/>
    </row>
    <row r="6" spans="1:34" ht="17" customHeight="1" thickBot="1">
      <c r="B6" s="592" t="str">
        <f>IF(Start!$D$4="","Dr. Max Mustermann",Start!$D$4)</f>
        <v>Dr. Max Mustermann</v>
      </c>
      <c r="C6" s="593"/>
      <c r="D6" s="593"/>
      <c r="E6" s="593"/>
      <c r="F6" s="593" t="str">
        <f>Start!$D$8</f>
        <v>Ärztin/Arzt in Ausbildung_BSO1994</v>
      </c>
      <c r="G6" s="593"/>
      <c r="H6" s="593"/>
      <c r="I6" s="593"/>
      <c r="J6" s="594"/>
      <c r="K6" s="590">
        <f>IF(SUM(N14:O43,L13:L43,AA51:AD51,AA52:AB52)=0,Datenblatt!J108,SUM(N14:O43,L13:L43,AA51:AD51,AA52:AB52,AH51:AH52))</f>
        <v>201.60000000000002</v>
      </c>
      <c r="L6" s="591"/>
      <c r="M6" s="591"/>
      <c r="N6" s="586">
        <f>COUNTIF(D14:E43,"ND")+COUNTIF(D14:E43,"ND12,5")</f>
        <v>0</v>
      </c>
      <c r="O6" s="586"/>
      <c r="P6" s="587"/>
      <c r="Q6" s="346">
        <f>IF(OR(Start!$D$10="",Start!$E$10=""),"",IF(Start!$D$8=Gehalt!$K$32,VLOOKUP($H$8,Gehalt!$A$4:$I$22,3,FALSE),IF(Start!$D$8=Gehalt!$K$33,VLOOKUP($H$8,Gehalt!$A$4:$I$22,4,FALSE),IF(Start!$D$8=Gehalt!$K$34,VLOOKUP($H$8,Gehalt!$A$4:$I$22,5,FALSE),IF(Start!$D$8=Gehalt!$K$35,VLOOKUP($H$8,Gehalt!$A$4:$I$22,6,FALSE),IF(Start!$D$8=Gehalt!$K$36,VLOOKUP($H$8,Gehalt!$A$4:$I$22,7,FALSE),IF(Start!$D$8=Gehalt!$K$37,VLOOKUP($H$8,Gehalt!$A$4:$I$22,6,FALSE),IF(Start!$D$8=Gehalt!$K$38,VLOOKUP($H$8,Gehalt!$A$4:$I$22,8,FALSE),IF(Start!$D$8=Gehalt!$K$39,VLOOKUP($H$8,Gehalt!$A$4:$I$22,8,FALSE),IF(Start!$D$8=Gehalt!$K$40,VLOOKUP($H$8,Gehalt!$A$4:$I$22,9,FALSE),IF(Start!$D$8=Gehalt!$K$41,VLOOKUP($H$8,Gehalt!$A$4:$I$22,9,FALSE))))))))))))</f>
        <v>5365.31</v>
      </c>
      <c r="R6" s="92"/>
      <c r="S6" s="92"/>
    </row>
    <row r="7" spans="1:34" ht="15" customHeight="1">
      <c r="B7" s="582" t="s">
        <v>26</v>
      </c>
      <c r="C7" s="583"/>
      <c r="D7" s="108" t="s">
        <v>25</v>
      </c>
      <c r="E7" s="583" t="s">
        <v>43</v>
      </c>
      <c r="F7" s="583"/>
      <c r="G7" s="583"/>
      <c r="H7" s="583" t="s">
        <v>91</v>
      </c>
      <c r="I7" s="583"/>
      <c r="J7" s="589"/>
      <c r="K7" s="584" t="s">
        <v>80</v>
      </c>
      <c r="L7" s="585"/>
      <c r="M7" s="585"/>
      <c r="N7" s="585" t="s">
        <v>81</v>
      </c>
      <c r="O7" s="585"/>
      <c r="P7" s="588"/>
      <c r="Q7" s="345" t="s">
        <v>144</v>
      </c>
      <c r="R7" s="191"/>
      <c r="S7" s="101"/>
      <c r="U7" s="242"/>
      <c r="AA7" s="242"/>
    </row>
    <row r="8" spans="1:34" s="59" customFormat="1" ht="17" customHeight="1" thickBot="1">
      <c r="A8" s="471"/>
      <c r="B8" s="595">
        <f>DATE($D$8,9,1)</f>
        <v>45536</v>
      </c>
      <c r="C8" s="596"/>
      <c r="D8" s="349">
        <f>Start!$D$2</f>
        <v>2024</v>
      </c>
      <c r="E8" s="601">
        <f>($K$6)/((VLOOKUP($B$8,Datenblatt!$A$100:$G$112,7,FALSE)*0.2)-(0.2*$D$59))</f>
        <v>48</v>
      </c>
      <c r="F8" s="601"/>
      <c r="G8" s="601"/>
      <c r="H8" s="602">
        <f>IF(OR(Start!$D$10="",Start!$E$10=""),"",IF(($C$14&lt;Start!$D$10),Start!$E$10,VLOOKUP(Start!$E$10,Gehalt!$A$4:$B$22,2,FALSE)))</f>
        <v>4</v>
      </c>
      <c r="I8" s="602"/>
      <c r="J8" s="603"/>
      <c r="K8" s="597">
        <f>SUM(M13:M43)</f>
        <v>0</v>
      </c>
      <c r="L8" s="598"/>
      <c r="M8" s="598"/>
      <c r="N8" s="591">
        <f>VLOOKUP($B$8,Datenblatt!A100:F112,6,FALSE)</f>
        <v>168</v>
      </c>
      <c r="O8" s="591"/>
      <c r="P8" s="599"/>
      <c r="Q8" s="346">
        <f ca="1">IF($L$50="","",SUM($L$50:$L$59))</f>
        <v>5365.31</v>
      </c>
      <c r="R8" s="100"/>
      <c r="S8" s="101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302"/>
    </row>
    <row r="9" spans="1:34" s="60" customFormat="1" ht="4.25" customHeight="1">
      <c r="A9" s="473"/>
      <c r="B9" s="559" t="s">
        <v>116</v>
      </c>
      <c r="C9" s="560"/>
      <c r="D9" s="565" t="s">
        <v>124</v>
      </c>
      <c r="E9" s="565" t="s">
        <v>174</v>
      </c>
      <c r="F9" s="568" t="s">
        <v>79</v>
      </c>
      <c r="G9" s="569"/>
      <c r="H9" s="568" t="s">
        <v>109</v>
      </c>
      <c r="I9" s="569"/>
      <c r="J9" s="565" t="s">
        <v>117</v>
      </c>
      <c r="K9" s="556" t="s">
        <v>82</v>
      </c>
      <c r="L9" s="556" t="s">
        <v>130</v>
      </c>
      <c r="M9" s="556" t="s">
        <v>114</v>
      </c>
      <c r="N9" s="556" t="s">
        <v>79</v>
      </c>
      <c r="O9" s="556" t="s">
        <v>109</v>
      </c>
      <c r="P9" s="553" t="s">
        <v>134</v>
      </c>
      <c r="Q9" s="535" t="s">
        <v>125</v>
      </c>
      <c r="R9" s="537" t="s">
        <v>173</v>
      </c>
      <c r="S9" s="573" t="s">
        <v>165</v>
      </c>
      <c r="T9" s="233"/>
      <c r="U9" s="234"/>
      <c r="V9" s="234"/>
      <c r="W9" s="234"/>
      <c r="X9" s="234"/>
      <c r="Y9" s="234"/>
      <c r="Z9" s="233"/>
      <c r="AA9" s="234"/>
      <c r="AB9" s="234"/>
      <c r="AC9" s="234"/>
      <c r="AD9" s="234"/>
      <c r="AE9" s="234"/>
      <c r="AF9" s="234"/>
      <c r="AG9" s="234"/>
      <c r="AH9" s="301"/>
    </row>
    <row r="10" spans="1:34" ht="14.5" customHeight="1">
      <c r="B10" s="561"/>
      <c r="C10" s="562"/>
      <c r="D10" s="566"/>
      <c r="E10" s="566"/>
      <c r="F10" s="570"/>
      <c r="G10" s="571"/>
      <c r="H10" s="570"/>
      <c r="I10" s="571"/>
      <c r="J10" s="566"/>
      <c r="K10" s="557"/>
      <c r="L10" s="557"/>
      <c r="M10" s="557"/>
      <c r="N10" s="557"/>
      <c r="O10" s="557"/>
      <c r="P10" s="554"/>
      <c r="Q10" s="535"/>
      <c r="R10" s="535"/>
      <c r="S10" s="574"/>
      <c r="T10" s="233"/>
      <c r="U10" s="572" t="s">
        <v>108</v>
      </c>
      <c r="V10" s="572"/>
      <c r="W10" s="572"/>
      <c r="X10" s="572"/>
      <c r="Y10" s="572"/>
      <c r="Z10" s="249"/>
      <c r="AA10" s="572" t="s">
        <v>168</v>
      </c>
      <c r="AB10" s="572"/>
      <c r="AC10" s="572"/>
      <c r="AD10" s="572"/>
      <c r="AE10" s="572"/>
      <c r="AF10" s="552" t="s">
        <v>232</v>
      </c>
      <c r="AG10" s="552" t="s">
        <v>233</v>
      </c>
    </row>
    <row r="11" spans="1:34" ht="13" customHeight="1" thickBot="1">
      <c r="B11" s="563"/>
      <c r="C11" s="564"/>
      <c r="D11" s="567"/>
      <c r="E11" s="567"/>
      <c r="F11" s="97" t="s">
        <v>14</v>
      </c>
      <c r="G11" s="98" t="s">
        <v>15</v>
      </c>
      <c r="H11" s="97" t="s">
        <v>14</v>
      </c>
      <c r="I11" s="98" t="s">
        <v>15</v>
      </c>
      <c r="J11" s="567"/>
      <c r="K11" s="558"/>
      <c r="L11" s="558"/>
      <c r="M11" s="558"/>
      <c r="N11" s="558"/>
      <c r="O11" s="558"/>
      <c r="P11" s="555"/>
      <c r="Q11" s="536"/>
      <c r="R11" s="536"/>
      <c r="S11" s="575"/>
      <c r="T11" s="109"/>
      <c r="U11" s="245" t="s">
        <v>105</v>
      </c>
      <c r="V11" s="246" t="s">
        <v>106</v>
      </c>
      <c r="W11" s="247" t="s">
        <v>107</v>
      </c>
      <c r="X11" s="246" t="s">
        <v>176</v>
      </c>
      <c r="Y11" s="246" t="s">
        <v>175</v>
      </c>
      <c r="Z11" s="248"/>
      <c r="AA11" s="245" t="s">
        <v>105</v>
      </c>
      <c r="AB11" s="246" t="s">
        <v>106</v>
      </c>
      <c r="AC11" s="246" t="s">
        <v>176</v>
      </c>
      <c r="AD11" s="246" t="s">
        <v>175</v>
      </c>
      <c r="AE11" s="245" t="s">
        <v>229</v>
      </c>
      <c r="AF11" s="552"/>
      <c r="AG11" s="552"/>
      <c r="AH11" s="246" t="s">
        <v>262</v>
      </c>
    </row>
    <row r="12" spans="1:34" ht="0.25" customHeight="1">
      <c r="B12" s="61"/>
      <c r="C12" s="61"/>
      <c r="D12" s="62"/>
      <c r="E12" s="65"/>
      <c r="F12" s="63"/>
      <c r="G12" s="63"/>
      <c r="H12" s="63"/>
      <c r="I12" s="63"/>
      <c r="J12" s="64"/>
      <c r="K12" s="64"/>
      <c r="L12" s="65"/>
      <c r="M12" s="65"/>
      <c r="N12" s="65"/>
      <c r="O12" s="65"/>
      <c r="P12" s="65"/>
      <c r="S12" s="96"/>
      <c r="T12" s="235"/>
      <c r="U12" s="236"/>
      <c r="V12" s="236"/>
      <c r="Z12" s="236"/>
      <c r="AA12" s="236"/>
      <c r="AB12" s="236"/>
      <c r="AH12" s="303"/>
    </row>
    <row r="13" spans="1:34" ht="13" customHeight="1">
      <c r="A13" s="89" t="str">
        <f>IF(ISERROR(VLOOKUP(C13,Datenblatt!$B$84:$B$97,1,FALSE)),"","Ft")</f>
        <v/>
      </c>
      <c r="B13" s="397">
        <f t="shared" ref="B13:B43" si="0">C13</f>
        <v>45535</v>
      </c>
      <c r="C13" s="149">
        <f>C14-1</f>
        <v>45535</v>
      </c>
      <c r="D13" s="153" t="str">
        <f>IF(August!D$44="","",August!D$44)</f>
        <v/>
      </c>
      <c r="E13" s="150" t="str">
        <f>IF(August!E$44="","",August!E$44)</f>
        <v/>
      </c>
      <c r="F13" s="150"/>
      <c r="G13" s="150"/>
      <c r="H13" s="150"/>
      <c r="I13" s="150"/>
      <c r="J13" s="252"/>
      <c r="K13" s="252"/>
      <c r="L13" s="170" t="str">
        <f>IF(D13="ND",9,IF(D13="ND12,5",8.5,""))</f>
        <v/>
      </c>
      <c r="M13" s="170" t="str">
        <f>IF(D13="ND",9,IF(D13="ND12,5",8.5,""))</f>
        <v/>
      </c>
      <c r="N13" s="600" t="str">
        <f>IF(OR(D13="ND",D13="ND12,5"),"Übertrag Vormonat","")</f>
        <v/>
      </c>
      <c r="O13" s="600"/>
      <c r="P13" s="193"/>
      <c r="Q13" s="174"/>
      <c r="R13" s="151"/>
      <c r="S13" s="152"/>
      <c r="T13" s="205"/>
      <c r="U13" s="206"/>
      <c r="V13" s="207"/>
      <c r="W13" s="207"/>
      <c r="X13" s="253"/>
      <c r="Y13" s="253"/>
      <c r="Z13" s="111" t="str">
        <f t="shared" ref="Z13" si="1">IF(E13="ND",25,IF(E13="ND12,5",12.5,""))</f>
        <v/>
      </c>
      <c r="AA13" s="206"/>
      <c r="AB13" s="208"/>
      <c r="AC13" s="208"/>
      <c r="AD13" s="208"/>
      <c r="AE13" s="208"/>
      <c r="AF13" s="112"/>
      <c r="AG13" s="112"/>
      <c r="AH13" s="304"/>
    </row>
    <row r="14" spans="1:34" ht="13" customHeight="1">
      <c r="A14" s="89" t="str">
        <f>IF(ISERROR(VLOOKUP(C14,Datenblatt!$B$84:$B$97,1,FALSE)),"","Ft")</f>
        <v/>
      </c>
      <c r="B14" s="84">
        <f t="shared" si="0"/>
        <v>45536</v>
      </c>
      <c r="C14" s="85">
        <f>DATE($D$8,MONTH(B$8),1)</f>
        <v>45536</v>
      </c>
      <c r="D14" s="67"/>
      <c r="E14" s="67"/>
      <c r="F14" s="68"/>
      <c r="G14" s="69"/>
      <c r="H14" s="68"/>
      <c r="I14" s="68"/>
      <c r="J14" s="99"/>
      <c r="K14" s="21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20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10" t="str">
        <f>IF(D14="","",IF(E13="ND",VLOOKUP(D14,Datenblatt!$A$2:$C$31,3,FALSE)-1,IF(E13="ND12,5",VLOOKUP(D14,Datenblatt!$A$2:$C$31,3,FALSE)-0.5,VLOOKUP(D14,Datenblatt!$A$2:$C$31,3,FALSE))))</f>
        <v/>
      </c>
      <c r="N14" s="211" t="str">
        <f t="shared" ref="N14:N43" si="2">IF(AND(F14="",G14=""),"",IF(OR(F14&gt;G14,AND(F14="",G14&gt;0),F14=G14),"ungültig",IF(OR(WEEKDAY(B14,2)=7,A14="Ft"),0,(G14-F14)*24)))</f>
        <v/>
      </c>
      <c r="O14" s="211">
        <f t="shared" ref="O14:O43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86">
        <f>IF(D14="",IF($P$47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$47="Freizeit",(-M14-J14+IF(ISNUMBER(N14),(N14*1.5),0)+IF(ISNUMBER(O14),(O14*2),0)+IF(OR(E14="ND",E14="ND12,5"),2,0)),(-M14-J14)),IF($P$47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103" t="str">
        <f>IF(D14="","",VLOOKUP(D14,Datenblatt!$A$2:$D$31,4,FALSE))</f>
        <v/>
      </c>
      <c r="R14" s="104" t="str">
        <f>IF(E14="","",VLOOKUP(E14,Datenblatt!$E$2:$G$28,2,FALSE))</f>
        <v/>
      </c>
      <c r="S14" s="105"/>
      <c r="T14" s="111">
        <f>IF(K14="",0,K14)</f>
        <v>0</v>
      </c>
      <c r="U14" s="110"/>
      <c r="V14" s="112"/>
      <c r="W14" s="113"/>
      <c r="X14" s="254"/>
      <c r="Y14" s="254"/>
      <c r="Z14" s="111" t="str">
        <f>IF(E14="ND",25,IF(E14="ND12,5",12.5,""))</f>
        <v/>
      </c>
      <c r="AA14" s="214">
        <f>IF(E13="ND",IF(ISERROR(MATCH(D14,Datenblatt!$L$2:$L$18,0)),3,2),IF(E13="ND12,5",IF(ISERROR(MATCH(D14,Datenblatt!$L$2:$L$18,0)),2.5,2),0))</f>
        <v>0</v>
      </c>
      <c r="AB14" s="214">
        <f>IF((IF(E14="ND",14-IF(D14="",0,VLOOKUP(D14,Datenblatt!$L$2:$M$30,2,FALSE)),IF(E14="ND12,5",2,0)))&lt;0,0,(IF(E14="ND",14-IF(D14="",0,VLOOKUP(D14,Datenblatt!$L$2:$M$30,2,FALSE)),IF(E14="ND12,5",2,0))))</f>
        <v>0</v>
      </c>
      <c r="AC14" s="214">
        <f>IF(OR(E14="ND",E14="ND12,5"),2,0)</f>
        <v>0</v>
      </c>
      <c r="AD14" s="214">
        <f>IF(OR(E13="ND",E13="ND12,5"),6,0)</f>
        <v>0</v>
      </c>
      <c r="AE14" s="214">
        <f>IF(AND(E13="ND",AA14&gt;=2),1,IF(AND(E13="ND12,5",AA14&gt;=2),0.5,0))</f>
        <v>0</v>
      </c>
      <c r="AF14" s="112">
        <f>IF(OR(D14="ND",D14="ND12,5"),2-X14,0)</f>
        <v>0</v>
      </c>
      <c r="AG14" s="112">
        <f>IF(OR(D13="ND",D13="ND12,5"),6-Y14,0)</f>
        <v>0</v>
      </c>
      <c r="AH14" s="112">
        <f>IF(E14="",0,VLOOKUP(E14,Datenblatt!$E$2:$G$28,3,FALSE))</f>
        <v>0</v>
      </c>
    </row>
    <row r="15" spans="1:34" ht="13" customHeight="1">
      <c r="A15" s="89" t="str">
        <f>IF(ISERROR(VLOOKUP(C15,Datenblatt!$B$84:$B$97,1,FALSE)),"","Ft")</f>
        <v/>
      </c>
      <c r="B15" s="84">
        <f t="shared" si="0"/>
        <v>45537</v>
      </c>
      <c r="C15" s="86">
        <f t="shared" ref="C15:C41" si="4">C14+1</f>
        <v>45537</v>
      </c>
      <c r="D15" s="67"/>
      <c r="E15" s="67"/>
      <c r="F15" s="68"/>
      <c r="G15" s="69"/>
      <c r="H15" s="68"/>
      <c r="I15" s="68"/>
      <c r="J15" s="99"/>
      <c r="K15" s="21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20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10" t="str">
        <f>IF(D15="","",IF(E14="ND",VLOOKUP(D15,Datenblatt!$A$2:$C$31,3,FALSE)-1,IF(E14="ND12,5",VLOOKUP(D15,Datenblatt!$A$2:$C$31,3,FALSE)-0.5,VLOOKUP(D15,Datenblatt!$A$2:$C$31,3,FALSE))))</f>
        <v/>
      </c>
      <c r="N15" s="211" t="str">
        <f t="shared" si="2"/>
        <v/>
      </c>
      <c r="O15" s="211" t="str">
        <f t="shared" si="3"/>
        <v/>
      </c>
      <c r="P15" s="186">
        <f>IF(D15="",IF($P$47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$47="Freizeit",(-M15-J15+IF(ISNUMBER(N15),(N15*1.5),0)+IF(ISNUMBER(O15),(O15*2),0)+IF(OR(E15="ND",E15="ND12,5"),2,0)),(-M15-J15)),IF($P$47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103" t="str">
        <f>IF(D15="","",VLOOKUP(D15,Datenblatt!$A$2:$D$31,4,FALSE))</f>
        <v/>
      </c>
      <c r="R15" s="104" t="str">
        <f>IF(E15="","",VLOOKUP(E15,Datenblatt!$E$2:$G$28,2,FALSE))</f>
        <v/>
      </c>
      <c r="S15" s="105"/>
      <c r="T15" s="111">
        <f t="shared" ref="T15:T43" si="5">IF(K15="",0,K15)</f>
        <v>0</v>
      </c>
      <c r="U15" s="114">
        <f t="array" ref="U15">IF(T14=0,0,IF(AND((ROW(T14)=MATCH(TRUE,($T$1:$T$43)&gt;0,0)),(D14="ND")),IF(T14&lt;3,T14,3),IF(AND(ROW(T14)=MATCH(TRUE,($T$1:$T$43)&gt;0,0),D14="ND12,5"),IF(T14&lt;2.5,T14,2.5),IF(D14="ND12,5",2.5,(T14-V14-W14)))))</f>
        <v>0</v>
      </c>
      <c r="V15" s="112">
        <f t="array" ref="V15">IF(T15=0,0,IF(AND((ROW(T15)=MATCH(TRUE,($T$1:$T$43)&gt;0,0)),(D15="ND")),IF(AND(T15&gt;11,T15&lt;=25),T15-11,0),IF(AND(ROW(T15)=MATCH(TRUE,($T$1:$T$43)&gt;0,0),D15="ND12,5"),IF(AND(T15&gt;10.5,T15&lt;=12.5),T15-10.5,0),IF(D15="ND12,5",2,IF(T15&lt;14,T15,14)))))</f>
        <v>0</v>
      </c>
      <c r="W15" s="112">
        <f t="array" ref="W15">IF(T15=0,0,IF(AND((ROW(T15)=MATCH(TRUE,($T$1:$T$43)&gt;0,0)),(D15="ND")),IF(AND(T15&gt;3,T15&lt;11),T15-3,IF(T15&gt;=11,8,0)),IF(AND((ROW(T15)=MATCH(TRUE,($T$1:$T$43)&gt;0,0)),(D15="ND12,5")),IF(AND(T15&gt;2.5,T15&lt;10.5),T15-2.5,IF(T15&gt;=10.5,8,0)),IF(D15="ND12,5",8,IF(AND(T15&gt;14,T15&lt;22),(T15-V15),IF(T15&gt;=22,8,0))))))</f>
        <v>0</v>
      </c>
      <c r="X15" s="254">
        <f t="array" ref="X15">IF(T15=0,0,IF((AND((ROW(T15)=MATCH(TRUE,($T$1:$T$43)&gt;0,0)))),IF(W15&gt;=6,W15-6,0),IF(W15&gt;=2,2,W15)))</f>
        <v>0</v>
      </c>
      <c r="Y15" s="254">
        <f t="array" ref="Y15">IF(T14=0,0,(IF((AND((ROW(T14)=MATCH(TRUE,($T$1:$T$43)&gt;0,0)))),IF(W14&gt;=6,6,W14),IF(W14&gt;=2,W14-2,0))))</f>
        <v>0</v>
      </c>
      <c r="Z15" s="111" t="str">
        <f t="shared" ref="Z15:Z43" si="6">IF(E15="ND",25,IF(E15="ND12,5",12.5,""))</f>
        <v/>
      </c>
      <c r="AA15" s="214">
        <f>IF(E14="ND",IF(ISERROR(MATCH(D15,Datenblatt!$L$2:$L$18,0)),3,2),IF(E14="ND12,5",IF(ISERROR(MATCH(D15,Datenblatt!$L$2:$L$18,0)),2.5,2),0))</f>
        <v>0</v>
      </c>
      <c r="AB15" s="214">
        <f>IF((IF(E15="ND",14-IF(D15="",0,VLOOKUP(D15,Datenblatt!$L$2:$M$30,2,FALSE)),IF(E15="ND12,5",2,0)))&lt;0,0,(IF(E15="ND",14-IF(D15="",0,VLOOKUP(D15,Datenblatt!$L$2:$M$30,2,FALSE)),IF(E15="ND12,5",2,0))))</f>
        <v>0</v>
      </c>
      <c r="AC15" s="214">
        <f t="shared" ref="AC15:AC43" si="7">IF(OR(E15="ND",E15="ND12,5"),2,0)</f>
        <v>0</v>
      </c>
      <c r="AD15" s="214">
        <f t="shared" ref="AD15:AD43" si="8">IF(OR(E14="ND",E14="ND12,5"),6,0)</f>
        <v>0</v>
      </c>
      <c r="AE15" s="214">
        <f t="shared" ref="AE15:AE43" si="9">IF(AND(E14="ND",AA15&gt;=2),1,IF(AND(E14="ND12,5",AA15&gt;=2),0.5,0))</f>
        <v>0</v>
      </c>
      <c r="AF15" s="112">
        <f t="shared" ref="AF15:AF43" si="10">IF(OR(D15="ND",D15="ND12,5"),2-X15,0)</f>
        <v>0</v>
      </c>
      <c r="AG15" s="112">
        <f t="shared" ref="AG15:AG43" si="11">IF(OR(D14="ND",D14="ND12,5"),6-Y15,0)</f>
        <v>0</v>
      </c>
      <c r="AH15" s="112">
        <f>IF(E15="",0,VLOOKUP(E15,Datenblatt!$E$2:$G$28,3,FALSE))</f>
        <v>0</v>
      </c>
    </row>
    <row r="16" spans="1:34" ht="13" customHeight="1">
      <c r="A16" s="89" t="str">
        <f>IF(ISERROR(VLOOKUP(C16,Datenblatt!$B$84:$B$97,1,FALSE)),"","Ft")</f>
        <v/>
      </c>
      <c r="B16" s="84">
        <f t="shared" si="0"/>
        <v>45538</v>
      </c>
      <c r="C16" s="86">
        <f t="shared" si="4"/>
        <v>45538</v>
      </c>
      <c r="D16" s="67"/>
      <c r="E16" s="67"/>
      <c r="F16" s="68"/>
      <c r="G16" s="69"/>
      <c r="H16" s="68"/>
      <c r="I16" s="68"/>
      <c r="J16" s="99"/>
      <c r="K16" s="21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20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10" t="str">
        <f>IF(D16="","",IF(E15="ND",VLOOKUP(D16,Datenblatt!$A$2:$C$31,3,FALSE)-1,IF(E15="ND12,5",VLOOKUP(D16,Datenblatt!$A$2:$C$31,3,FALSE)-0.5,VLOOKUP(D16,Datenblatt!$A$2:$C$31,3,FALSE))))</f>
        <v/>
      </c>
      <c r="N16" s="211" t="str">
        <f t="shared" si="2"/>
        <v/>
      </c>
      <c r="O16" s="211" t="str">
        <f t="shared" si="3"/>
        <v/>
      </c>
      <c r="P16" s="186">
        <f>IF(D16="",IF($P$47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$47="Freizeit",(-M16-J16+IF(ISNUMBER(N16),(N16*1.5),0)+IF(ISNUMBER(O16),(O16*2),0)+IF(OR(E16="ND",E16="ND12,5"),2,0)),(-M16-J16)),IF($P$47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103" t="str">
        <f>IF(D16="","",VLOOKUP(D16,Datenblatt!$A$2:$D$31,4,FALSE))</f>
        <v/>
      </c>
      <c r="R16" s="104" t="str">
        <f>IF(E16="","",VLOOKUP(E16,Datenblatt!$E$2:$G$28,2,FALSE))</f>
        <v/>
      </c>
      <c r="S16" s="105"/>
      <c r="T16" s="111">
        <f t="shared" si="5"/>
        <v>0</v>
      </c>
      <c r="U16" s="114">
        <f t="array" ref="U16">IF(T15=0,0,IF(AND((ROW(T15)=MATCH(TRUE,($T$1:$T$43)&gt;0,0)),(D15="ND")),IF(T15&lt;3,T15,3),IF(AND(ROW(T15)=MATCH(TRUE,($T$1:$T$43)&gt;0,0),D15="ND12,5"),IF(T15&lt;2.5,T15,2.5),IF(D15="ND12,5",2.5,(T15-V15-W15)))))</f>
        <v>0</v>
      </c>
      <c r="V16" s="112">
        <f t="array" ref="V16">IF(T16=0,0,IF(AND((ROW(T16)=MATCH(TRUE,($T$1:$T$43)&gt;0,0)),(D16="ND")),IF(AND(T16&gt;11,T16&lt;=25),T16-11,0),IF(AND(ROW(T16)=MATCH(TRUE,($T$1:$T$43)&gt;0,0),D16="ND12,5"),IF(AND(T16&gt;10.5,T16&lt;=12.5),T16-10.5,0),IF(D16="ND12,5",2,IF(T16&lt;14,T16,14)))))</f>
        <v>0</v>
      </c>
      <c r="W16" s="112">
        <f t="array" ref="W16">IF(T16=0,0,IF(AND((ROW(T16)=MATCH(TRUE,($T$1:$T$43)&gt;0,0)),(D16="ND")),IF(AND(T16&gt;3,T16&lt;11),T16-3,IF(T16&gt;=11,8,0)),IF(AND((ROW(T16)=MATCH(TRUE,($T$1:$T$43)&gt;0,0)),(D16="ND12,5")),IF(AND(T16&gt;2.5,T16&lt;10.5),T16-2.5,IF(T16&gt;=10.5,8,0)),IF(D16="ND12,5",8,IF(AND(T16&gt;14,T16&lt;22),(T16-V16),IF(T16&gt;=22,8,0))))))</f>
        <v>0</v>
      </c>
      <c r="X16" s="254">
        <f t="array" ref="X16">IF(T16=0,0,IF((AND((ROW(T16)=MATCH(TRUE,($T$1:$T$43)&gt;0,0)))),IF(W16&gt;=6,W16-6,0),IF(W16&gt;=2,2,W16)))</f>
        <v>0</v>
      </c>
      <c r="Y16" s="254">
        <f t="array" ref="Y16">IF(T15=0,0,(IF((AND((ROW(T15)=MATCH(TRUE,($T$1:$T$43)&gt;0,0)))),IF(W15&gt;=6,6,W15),IF(W15&gt;=2,W15-2,0))))</f>
        <v>0</v>
      </c>
      <c r="Z16" s="111" t="str">
        <f t="shared" si="6"/>
        <v/>
      </c>
      <c r="AA16" s="214">
        <f>IF(E15="ND",IF(ISERROR(MATCH(D16,Datenblatt!$L$2:$L$18,0)),3,2),IF(E15="ND12,5",IF(ISERROR(MATCH(D16,Datenblatt!$L$2:$L$18,0)),2.5,2),0))</f>
        <v>0</v>
      </c>
      <c r="AB16" s="214">
        <f>IF((IF(E16="ND",14-IF(D16="",0,VLOOKUP(D16,Datenblatt!$L$2:$M$30,2,FALSE)),IF(E16="ND12,5",2,0)))&lt;0,0,(IF(E16="ND",14-IF(D16="",0,VLOOKUP(D16,Datenblatt!$L$2:$M$30,2,FALSE)),IF(E16="ND12,5",2,0))))</f>
        <v>0</v>
      </c>
      <c r="AC16" s="214">
        <f t="shared" si="7"/>
        <v>0</v>
      </c>
      <c r="AD16" s="214">
        <f t="shared" si="8"/>
        <v>0</v>
      </c>
      <c r="AE16" s="214">
        <f t="shared" si="9"/>
        <v>0</v>
      </c>
      <c r="AF16" s="112">
        <f t="shared" si="10"/>
        <v>0</v>
      </c>
      <c r="AG16" s="112">
        <f t="shared" si="11"/>
        <v>0</v>
      </c>
      <c r="AH16" s="112">
        <f>IF(E16="",0,VLOOKUP(E16,Datenblatt!$E$2:$G$28,3,FALSE))</f>
        <v>0</v>
      </c>
    </row>
    <row r="17" spans="1:34" ht="13" customHeight="1">
      <c r="A17" s="89" t="str">
        <f>IF(ISERROR(VLOOKUP(C17,Datenblatt!$B$84:$B$97,1,FALSE)),"","Ft")</f>
        <v/>
      </c>
      <c r="B17" s="84">
        <f t="shared" si="0"/>
        <v>45539</v>
      </c>
      <c r="C17" s="86">
        <f t="shared" si="4"/>
        <v>45539</v>
      </c>
      <c r="D17" s="67"/>
      <c r="E17" s="67"/>
      <c r="F17" s="68"/>
      <c r="G17" s="69"/>
      <c r="H17" s="68"/>
      <c r="I17" s="68"/>
      <c r="J17" s="99"/>
      <c r="K17" s="21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20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10" t="str">
        <f>IF(D17="","",IF(E16="ND",VLOOKUP(D17,Datenblatt!$A$2:$C$31,3,FALSE)-1,IF(E16="ND12,5",VLOOKUP(D17,Datenblatt!$A$2:$C$31,3,FALSE)-0.5,VLOOKUP(D17,Datenblatt!$A$2:$C$31,3,FALSE))))</f>
        <v/>
      </c>
      <c r="N17" s="211" t="str">
        <f t="shared" si="2"/>
        <v/>
      </c>
      <c r="O17" s="211" t="str">
        <f t="shared" si="3"/>
        <v/>
      </c>
      <c r="P17" s="186">
        <f>IF(D17="",IF($P$47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$47="Freizeit",(-M17-J17+IF(ISNUMBER(N17),(N17*1.5),0)+IF(ISNUMBER(O17),(O17*2),0)+IF(OR(E17="ND",E17="ND12,5"),2,0)),(-M17-J17)),IF($P$47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103" t="str">
        <f>IF(D17="","",VLOOKUP(D17,Datenblatt!$A$2:$D$31,4,FALSE))</f>
        <v/>
      </c>
      <c r="R17" s="104" t="str">
        <f>IF(E17="","",VLOOKUP(E17,Datenblatt!$E$2:$G$28,2,FALSE))</f>
        <v/>
      </c>
      <c r="S17" s="105"/>
      <c r="T17" s="111">
        <f t="shared" si="5"/>
        <v>0</v>
      </c>
      <c r="U17" s="114">
        <f t="array" ref="U17">IF(T16=0,0,IF(AND((ROW(T16)=MATCH(TRUE,($T$1:$T$43)&gt;0,0)),(D16="ND")),IF(T16&lt;3,T16,3),IF(AND(ROW(T16)=MATCH(TRUE,($T$1:$T$43)&gt;0,0),D16="ND12,5"),IF(T16&lt;2.5,T16,2.5),IF(D16="ND12,5",2.5,(T16-V16-W16)))))</f>
        <v>0</v>
      </c>
      <c r="V17" s="112">
        <f t="array" ref="V17">IF(T17=0,0,IF(AND((ROW(T17)=MATCH(TRUE,($T$1:$T$43)&gt;0,0)),(D17="ND")),IF(AND(T17&gt;11,T17&lt;=25),T17-11,0),IF(AND(ROW(T17)=MATCH(TRUE,($T$1:$T$43)&gt;0,0),D17="ND12,5"),IF(AND(T17&gt;10.5,T17&lt;=12.5),T17-10.5,0),IF(D17="ND12,5",2,IF(T17&lt;14,T17,14)))))</f>
        <v>0</v>
      </c>
      <c r="W17" s="112">
        <f t="array" ref="W17">IF(T17=0,0,IF(AND((ROW(T17)=MATCH(TRUE,($T$1:$T$43)&gt;0,0)),(D17="ND")),IF(AND(T17&gt;3,T17&lt;11),T17-3,IF(T17&gt;=11,8,0)),IF(AND((ROW(T17)=MATCH(TRUE,($T$1:$T$43)&gt;0,0)),(D17="ND12,5")),IF(AND(T17&gt;2.5,T17&lt;10.5),T17-2.5,IF(T17&gt;=10.5,8,0)),IF(D17="ND12,5",8,IF(AND(T17&gt;14,T17&lt;22),(T17-V17),IF(T17&gt;=22,8,0))))))</f>
        <v>0</v>
      </c>
      <c r="X17" s="254">
        <f t="array" ref="X17">IF(T17=0,0,IF((AND((ROW(T17)=MATCH(TRUE,($T$1:$T$43)&gt;0,0)))),IF(W17&gt;=6,W17-6,0),IF(W17&gt;=2,2,W17)))</f>
        <v>0</v>
      </c>
      <c r="Y17" s="254">
        <f t="array" ref="Y17">IF(T16=0,0,(IF((AND((ROW(T16)=MATCH(TRUE,($T$1:$T$43)&gt;0,0)))),IF(W16&gt;=6,6,W16),IF(W16&gt;=2,W16-2,0))))</f>
        <v>0</v>
      </c>
      <c r="Z17" s="111" t="str">
        <f t="shared" si="6"/>
        <v/>
      </c>
      <c r="AA17" s="214">
        <f>IF(E16="ND",IF(ISERROR(MATCH(D17,Datenblatt!$L$2:$L$18,0)),3,2),IF(E16="ND12,5",IF(ISERROR(MATCH(D17,Datenblatt!$L$2:$L$18,0)),2.5,2),0))</f>
        <v>0</v>
      </c>
      <c r="AB17" s="214">
        <f>IF((IF(E17="ND",14-IF(D17="",0,VLOOKUP(D17,Datenblatt!$L$2:$M$30,2,FALSE)),IF(E17="ND12,5",2,0)))&lt;0,0,(IF(E17="ND",14-IF(D17="",0,VLOOKUP(D17,Datenblatt!$L$2:$M$30,2,FALSE)),IF(E17="ND12,5",2,0))))</f>
        <v>0</v>
      </c>
      <c r="AC17" s="214">
        <f t="shared" si="7"/>
        <v>0</v>
      </c>
      <c r="AD17" s="214">
        <f t="shared" si="8"/>
        <v>0</v>
      </c>
      <c r="AE17" s="214">
        <f t="shared" si="9"/>
        <v>0</v>
      </c>
      <c r="AF17" s="112">
        <f t="shared" si="10"/>
        <v>0</v>
      </c>
      <c r="AG17" s="112">
        <f t="shared" si="11"/>
        <v>0</v>
      </c>
      <c r="AH17" s="112">
        <f>IF(E17="",0,VLOOKUP(E17,Datenblatt!$E$2:$G$28,3,FALSE))</f>
        <v>0</v>
      </c>
    </row>
    <row r="18" spans="1:34" ht="13" customHeight="1">
      <c r="A18" s="89" t="str">
        <f>IF(ISERROR(VLOOKUP(C18,Datenblatt!$B$84:$B$97,1,FALSE)),"","Ft")</f>
        <v/>
      </c>
      <c r="B18" s="84">
        <f t="shared" si="0"/>
        <v>45540</v>
      </c>
      <c r="C18" s="86">
        <f t="shared" si="4"/>
        <v>45540</v>
      </c>
      <c r="D18" s="67"/>
      <c r="E18" s="67"/>
      <c r="F18" s="68"/>
      <c r="G18" s="69"/>
      <c r="H18" s="68"/>
      <c r="I18" s="68"/>
      <c r="J18" s="99"/>
      <c r="K18" s="21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20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10" t="str">
        <f>IF(D18="","",IF(E17="ND",VLOOKUP(D18,Datenblatt!$A$2:$C$31,3,FALSE)-1,IF(E17="ND12,5",VLOOKUP(D18,Datenblatt!$A$2:$C$31,3,FALSE)-0.5,VLOOKUP(D18,Datenblatt!$A$2:$C$31,3,FALSE))))</f>
        <v/>
      </c>
      <c r="N18" s="211" t="str">
        <f t="shared" si="2"/>
        <v/>
      </c>
      <c r="O18" s="211" t="str">
        <f t="shared" si="3"/>
        <v/>
      </c>
      <c r="P18" s="186">
        <f>IF(D18="",IF($P$47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$47="Freizeit",(-M18-J18+IF(ISNUMBER(N18),(N18*1.5),0)+IF(ISNUMBER(O18),(O18*2),0)+IF(OR(E18="ND",E18="ND12,5"),2,0)),(-M18-J18)),IF($P$47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103" t="str">
        <f>IF(D18="","",VLOOKUP(D18,Datenblatt!$A$2:$D$31,4,FALSE))</f>
        <v/>
      </c>
      <c r="R18" s="104" t="str">
        <f>IF(E18="","",VLOOKUP(E18,Datenblatt!$E$2:$G$28,2,FALSE))</f>
        <v/>
      </c>
      <c r="S18" s="105"/>
      <c r="T18" s="111">
        <f t="shared" si="5"/>
        <v>0</v>
      </c>
      <c r="U18" s="114">
        <f t="array" ref="U18">IF(T17=0,0,IF(AND((ROW(T17)=MATCH(TRUE,($T$1:$T$43)&gt;0,0)),(D17="ND")),IF(T17&lt;3,T17,3),IF(AND(ROW(T17)=MATCH(TRUE,($T$1:$T$43)&gt;0,0),D17="ND12,5"),IF(T17&lt;2.5,T17,2.5),IF(D17="ND12,5",2.5,(T17-V17-W17)))))</f>
        <v>0</v>
      </c>
      <c r="V18" s="112">
        <f t="array" ref="V18">IF(T18=0,0,IF(AND((ROW(T18)=MATCH(TRUE,($T$1:$T$43)&gt;0,0)),(D18="ND")),IF(AND(T18&gt;11,T18&lt;=25),T18-11,0),IF(AND(ROW(T18)=MATCH(TRUE,($T$1:$T$43)&gt;0,0),D18="ND12,5"),IF(AND(T18&gt;10.5,T18&lt;=12.5),T18-10.5,0),IF(D18="ND12,5",2,IF(T18&lt;14,T18,14)))))</f>
        <v>0</v>
      </c>
      <c r="W18" s="112">
        <f t="array" ref="W18">IF(T18=0,0,IF(AND((ROW(T18)=MATCH(TRUE,($T$1:$T$43)&gt;0,0)),(D18="ND")),IF(AND(T18&gt;3,T18&lt;11),T18-3,IF(T18&gt;=11,8,0)),IF(AND((ROW(T18)=MATCH(TRUE,($T$1:$T$43)&gt;0,0)),(D18="ND12,5")),IF(AND(T18&gt;2.5,T18&lt;10.5),T18-2.5,IF(T18&gt;=10.5,8,0)),IF(D18="ND12,5",8,IF(AND(T18&gt;14,T18&lt;22),(T18-V18),IF(T18&gt;=22,8,0))))))</f>
        <v>0</v>
      </c>
      <c r="X18" s="254">
        <f t="array" ref="X18">IF(T18=0,0,IF((AND((ROW(T18)=MATCH(TRUE,($T$1:$T$43)&gt;0,0)))),IF(W18&gt;=6,W18-6,0),IF(W18&gt;=2,2,W18)))</f>
        <v>0</v>
      </c>
      <c r="Y18" s="254">
        <f t="array" ref="Y18">IF(T17=0,0,(IF((AND((ROW(T17)=MATCH(TRUE,($T$1:$T$43)&gt;0,0)))),IF(W17&gt;=6,6,W17),IF(W17&gt;=2,W17-2,0))))</f>
        <v>0</v>
      </c>
      <c r="Z18" s="111" t="str">
        <f t="shared" si="6"/>
        <v/>
      </c>
      <c r="AA18" s="214">
        <f>IF(E17="ND",IF(ISERROR(MATCH(D18,Datenblatt!$L$2:$L$18,0)),3,2),IF(E17="ND12,5",IF(ISERROR(MATCH(D18,Datenblatt!$L$2:$L$18,0)),2.5,2),0))</f>
        <v>0</v>
      </c>
      <c r="AB18" s="214">
        <f>IF((IF(E18="ND",14-IF(D18="",0,VLOOKUP(D18,Datenblatt!$L$2:$M$30,2,FALSE)),IF(E18="ND12,5",2,0)))&lt;0,0,(IF(E18="ND",14-IF(D18="",0,VLOOKUP(D18,Datenblatt!$L$2:$M$30,2,FALSE)),IF(E18="ND12,5",2,0))))</f>
        <v>0</v>
      </c>
      <c r="AC18" s="214">
        <f t="shared" si="7"/>
        <v>0</v>
      </c>
      <c r="AD18" s="214">
        <f t="shared" si="8"/>
        <v>0</v>
      </c>
      <c r="AE18" s="214">
        <f t="shared" si="9"/>
        <v>0</v>
      </c>
      <c r="AF18" s="112">
        <f t="shared" si="10"/>
        <v>0</v>
      </c>
      <c r="AG18" s="112">
        <f t="shared" si="11"/>
        <v>0</v>
      </c>
      <c r="AH18" s="112">
        <f>IF(E18="",0,VLOOKUP(E18,Datenblatt!$E$2:$G$28,3,FALSE))</f>
        <v>0</v>
      </c>
    </row>
    <row r="19" spans="1:34" ht="13" customHeight="1">
      <c r="A19" s="89" t="str">
        <f>IF(ISERROR(VLOOKUP(C19,Datenblatt!$B$84:$B$97,1,FALSE)),"","Ft")</f>
        <v/>
      </c>
      <c r="B19" s="84">
        <f t="shared" si="0"/>
        <v>45541</v>
      </c>
      <c r="C19" s="86">
        <f t="shared" si="4"/>
        <v>45541</v>
      </c>
      <c r="D19" s="67"/>
      <c r="E19" s="67"/>
      <c r="F19" s="68"/>
      <c r="G19" s="69"/>
      <c r="H19" s="68"/>
      <c r="I19" s="68"/>
      <c r="J19" s="99"/>
      <c r="K19" s="21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20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10" t="str">
        <f>IF(D19="","",IF(E18="ND",VLOOKUP(D19,Datenblatt!$A$2:$C$31,3,FALSE)-1,IF(E18="ND12,5",VLOOKUP(D19,Datenblatt!$A$2:$C$31,3,FALSE)-0.5,VLOOKUP(D19,Datenblatt!$A$2:$C$31,3,FALSE))))</f>
        <v/>
      </c>
      <c r="N19" s="211" t="str">
        <f t="shared" si="2"/>
        <v/>
      </c>
      <c r="O19" s="211" t="str">
        <f t="shared" si="3"/>
        <v/>
      </c>
      <c r="P19" s="186">
        <f>IF(D19="",IF($P$47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$47="Freizeit",(-M19-J19+IF(ISNUMBER(N19),(N19*1.5),0)+IF(ISNUMBER(O19),(O19*2),0)+IF(OR(E19="ND",E19="ND12,5"),2,0)),(-M19-J19)),IF($P$47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103" t="str">
        <f>IF(D19="","",VLOOKUP(D19,Datenblatt!$A$2:$D$31,4,FALSE))</f>
        <v/>
      </c>
      <c r="R19" s="104" t="str">
        <f>IF(E19="","",VLOOKUP(E19,Datenblatt!$E$2:$G$28,2,FALSE))</f>
        <v/>
      </c>
      <c r="S19" s="105"/>
      <c r="T19" s="111">
        <f t="shared" si="5"/>
        <v>0</v>
      </c>
      <c r="U19" s="114">
        <f t="array" ref="U19">IF(T18=0,0,IF(AND((ROW(T18)=MATCH(TRUE,($T$1:$T$43)&gt;0,0)),(D18="ND")),IF(T18&lt;3,T18,3),IF(AND(ROW(T18)=MATCH(TRUE,($T$1:$T$43)&gt;0,0),D18="ND12,5"),IF(T18&lt;2.5,T18,2.5),IF(D18="ND12,5",2.5,(T18-V18-W18)))))</f>
        <v>0</v>
      </c>
      <c r="V19" s="112">
        <f t="array" ref="V19">IF(T19=0,0,IF(AND((ROW(T19)=MATCH(TRUE,($T$1:$T$43)&gt;0,0)),(D19="ND")),IF(AND(T19&gt;11,T19&lt;=25),T19-11,0),IF(AND(ROW(T19)=MATCH(TRUE,($T$1:$T$43)&gt;0,0),D19="ND12,5"),IF(AND(T19&gt;10.5,T19&lt;=12.5),T19-10.5,0),IF(D19="ND12,5",2,IF(T19&lt;14,T19,14)))))</f>
        <v>0</v>
      </c>
      <c r="W19" s="112">
        <f t="array" ref="W19">IF(T19=0,0,IF(AND((ROW(T19)=MATCH(TRUE,($T$1:$T$43)&gt;0,0)),(D19="ND")),IF(AND(T19&gt;3,T19&lt;11),T19-3,IF(T19&gt;=11,8,0)),IF(AND((ROW(T19)=MATCH(TRUE,($T$1:$T$43)&gt;0,0)),(D19="ND12,5")),IF(AND(T19&gt;2.5,T19&lt;10.5),T19-2.5,IF(T19&gt;=10.5,8,0)),IF(D19="ND12,5",8,IF(AND(T19&gt;14,T19&lt;22),(T19-V19),IF(T19&gt;=22,8,0))))))</f>
        <v>0</v>
      </c>
      <c r="X19" s="254">
        <f t="array" ref="X19">IF(T19=0,0,IF((AND((ROW(T19)=MATCH(TRUE,($T$1:$T$43)&gt;0,0)))),IF(W19&gt;=6,W19-6,0),IF(W19&gt;=2,2,W19)))</f>
        <v>0</v>
      </c>
      <c r="Y19" s="254">
        <f t="array" ref="Y19">IF(T18=0,0,(IF((AND((ROW(T18)=MATCH(TRUE,($T$1:$T$43)&gt;0,0)))),IF(W18&gt;=6,6,W18),IF(W18&gt;=2,W18-2,0))))</f>
        <v>0</v>
      </c>
      <c r="Z19" s="111" t="str">
        <f t="shared" si="6"/>
        <v/>
      </c>
      <c r="AA19" s="214">
        <f>IF(E18="ND",IF(ISERROR(MATCH(D19,Datenblatt!$L$2:$L$18,0)),3,2),IF(E18="ND12,5",IF(ISERROR(MATCH(D19,Datenblatt!$L$2:$L$18,0)),2.5,2),0))</f>
        <v>0</v>
      </c>
      <c r="AB19" s="214">
        <f>IF((IF(E19="ND",14-IF(D19="",0,VLOOKUP(D19,Datenblatt!$L$2:$M$30,2,FALSE)),IF(E19="ND12,5",2,0)))&lt;0,0,(IF(E19="ND",14-IF(D19="",0,VLOOKUP(D19,Datenblatt!$L$2:$M$30,2,FALSE)),IF(E19="ND12,5",2,0))))</f>
        <v>0</v>
      </c>
      <c r="AC19" s="214">
        <f t="shared" si="7"/>
        <v>0</v>
      </c>
      <c r="AD19" s="214">
        <f t="shared" si="8"/>
        <v>0</v>
      </c>
      <c r="AE19" s="214">
        <f t="shared" si="9"/>
        <v>0</v>
      </c>
      <c r="AF19" s="112">
        <f t="shared" si="10"/>
        <v>0</v>
      </c>
      <c r="AG19" s="112">
        <f t="shared" si="11"/>
        <v>0</v>
      </c>
      <c r="AH19" s="112">
        <f>IF(E19="",0,VLOOKUP(E19,Datenblatt!$E$2:$G$28,3,FALSE))</f>
        <v>0</v>
      </c>
    </row>
    <row r="20" spans="1:34" ht="13" customHeight="1">
      <c r="A20" s="89" t="str">
        <f>IF(ISERROR(VLOOKUP(C20,Datenblatt!$B$84:$B$97,1,FALSE)),"","Ft")</f>
        <v/>
      </c>
      <c r="B20" s="84">
        <f t="shared" si="0"/>
        <v>45542</v>
      </c>
      <c r="C20" s="86">
        <f t="shared" si="4"/>
        <v>45542</v>
      </c>
      <c r="D20" s="67"/>
      <c r="E20" s="67"/>
      <c r="F20" s="68"/>
      <c r="G20" s="69"/>
      <c r="H20" s="68"/>
      <c r="I20" s="68"/>
      <c r="J20" s="99"/>
      <c r="K20" s="21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20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10" t="str">
        <f>IF(D20="","",IF(E19="ND",VLOOKUP(D20,Datenblatt!$A$2:$C$31,3,FALSE)-1,IF(E19="ND12,5",VLOOKUP(D20,Datenblatt!$A$2:$C$31,3,FALSE)-0.5,VLOOKUP(D20,Datenblatt!$A$2:$C$31,3,FALSE))))</f>
        <v/>
      </c>
      <c r="N20" s="211" t="str">
        <f t="shared" si="2"/>
        <v/>
      </c>
      <c r="O20" s="211" t="str">
        <f t="shared" si="3"/>
        <v/>
      </c>
      <c r="P20" s="186">
        <f>IF(D20="",IF($P$47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$47="Freizeit",(-M20-J20+IF(ISNUMBER(N20),(N20*1.5),0)+IF(ISNUMBER(O20),(O20*2),0)+IF(OR(E20="ND",E20="ND12,5"),2,0)),(-M20-J20)),IF($P$47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103" t="str">
        <f>IF(D20="","",VLOOKUP(D20,Datenblatt!$A$2:$D$31,4,FALSE))</f>
        <v/>
      </c>
      <c r="R20" s="104" t="str">
        <f>IF(E20="","",VLOOKUP(E20,Datenblatt!$E$2:$G$28,2,FALSE))</f>
        <v/>
      </c>
      <c r="S20" s="105"/>
      <c r="T20" s="111">
        <f t="shared" si="5"/>
        <v>0</v>
      </c>
      <c r="U20" s="114">
        <f t="array" ref="U20">IF(T19=0,0,IF(AND((ROW(T19)=MATCH(TRUE,($T$1:$T$43)&gt;0,0)),(D19="ND")),IF(T19&lt;3,T19,3),IF(AND(ROW(T19)=MATCH(TRUE,($T$1:$T$43)&gt;0,0),D19="ND12,5"),IF(T19&lt;2.5,T19,2.5),IF(D19="ND12,5",2.5,(T19-V19-W19)))))</f>
        <v>0</v>
      </c>
      <c r="V20" s="112">
        <f t="array" ref="V20">IF(T20=0,0,IF(AND((ROW(T20)=MATCH(TRUE,($T$1:$T$43)&gt;0,0)),(D20="ND")),IF(AND(T20&gt;11,T20&lt;=25),T20-11,0),IF(AND(ROW(T20)=MATCH(TRUE,($T$1:$T$43)&gt;0,0),D20="ND12,5"),IF(AND(T20&gt;10.5,T20&lt;=12.5),T20-10.5,0),IF(D20="ND12,5",2,IF(T20&lt;14,T20,14)))))</f>
        <v>0</v>
      </c>
      <c r="W20" s="112">
        <f t="array" ref="W20">IF(T20=0,0,IF(AND((ROW(T20)=MATCH(TRUE,($T$1:$T$43)&gt;0,0)),(D20="ND")),IF(AND(T20&gt;3,T20&lt;11),T20-3,IF(T20&gt;=11,8,0)),IF(AND((ROW(T20)=MATCH(TRUE,($T$1:$T$43)&gt;0,0)),(D20="ND12,5")),IF(AND(T20&gt;2.5,T20&lt;10.5),T20-2.5,IF(T20&gt;=10.5,8,0)),IF(D20="ND12,5",8,IF(AND(T20&gt;14,T20&lt;22),(T20-V20),IF(T20&gt;=22,8,0))))))</f>
        <v>0</v>
      </c>
      <c r="X20" s="254">
        <f t="array" ref="X20">IF(T20=0,0,IF((AND((ROW(T20)=MATCH(TRUE,($T$1:$T$43)&gt;0,0)))),IF(W20&gt;=6,W20-6,0),IF(W20&gt;=2,2,W20)))</f>
        <v>0</v>
      </c>
      <c r="Y20" s="254">
        <f t="array" ref="Y20">IF(T19=0,0,(IF((AND((ROW(T19)=MATCH(TRUE,($T$1:$T$43)&gt;0,0)))),IF(W19&gt;=6,6,W19),IF(W19&gt;=2,W19-2,0))))</f>
        <v>0</v>
      </c>
      <c r="Z20" s="111" t="str">
        <f t="shared" si="6"/>
        <v/>
      </c>
      <c r="AA20" s="214">
        <f>IF(E19="ND",IF(ISERROR(MATCH(D20,Datenblatt!$L$2:$L$18,0)),3,2),IF(E19="ND12,5",IF(ISERROR(MATCH(D20,Datenblatt!$L$2:$L$18,0)),2.5,2),0))</f>
        <v>0</v>
      </c>
      <c r="AB20" s="214">
        <f>IF((IF(E20="ND",14-IF(D20="",0,VLOOKUP(D20,Datenblatt!$L$2:$M$30,2,FALSE)),IF(E20="ND12,5",2,0)))&lt;0,0,(IF(E20="ND",14-IF(D20="",0,VLOOKUP(D20,Datenblatt!$L$2:$M$30,2,FALSE)),IF(E20="ND12,5",2,0))))</f>
        <v>0</v>
      </c>
      <c r="AC20" s="214">
        <f t="shared" si="7"/>
        <v>0</v>
      </c>
      <c r="AD20" s="214">
        <f t="shared" si="8"/>
        <v>0</v>
      </c>
      <c r="AE20" s="214">
        <f t="shared" si="9"/>
        <v>0</v>
      </c>
      <c r="AF20" s="112">
        <f t="shared" si="10"/>
        <v>0</v>
      </c>
      <c r="AG20" s="112">
        <f t="shared" si="11"/>
        <v>0</v>
      </c>
      <c r="AH20" s="112">
        <f>IF(E20="",0,VLOOKUP(E20,Datenblatt!$E$2:$G$28,3,FALSE))</f>
        <v>0</v>
      </c>
    </row>
    <row r="21" spans="1:34" ht="13" customHeight="1">
      <c r="A21" s="89" t="str">
        <f>IF(ISERROR(VLOOKUP(C21,Datenblatt!$B$84:$B$97,1,FALSE)),"","Ft")</f>
        <v/>
      </c>
      <c r="B21" s="84">
        <f t="shared" si="0"/>
        <v>45543</v>
      </c>
      <c r="C21" s="86">
        <f t="shared" si="4"/>
        <v>45543</v>
      </c>
      <c r="D21" s="67"/>
      <c r="E21" s="67"/>
      <c r="F21" s="68"/>
      <c r="G21" s="69"/>
      <c r="H21" s="68"/>
      <c r="I21" s="68"/>
      <c r="J21" s="99"/>
      <c r="K21" s="21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20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10" t="str">
        <f>IF(D21="","",IF(E20="ND",VLOOKUP(D21,Datenblatt!$A$2:$C$31,3,FALSE)-1,IF(E20="ND12,5",VLOOKUP(D21,Datenblatt!$A$2:$C$31,3,FALSE)-0.5,VLOOKUP(D21,Datenblatt!$A$2:$C$31,3,FALSE))))</f>
        <v/>
      </c>
      <c r="N21" s="211" t="str">
        <f t="shared" si="2"/>
        <v/>
      </c>
      <c r="O21" s="211">
        <f t="shared" si="3"/>
        <v>0</v>
      </c>
      <c r="P21" s="186">
        <f>IF(D21="",IF($P$47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$47="Freizeit",(-M21-J21+IF(ISNUMBER(N21),(N21*1.5),0)+IF(ISNUMBER(O21),(O21*2),0)+IF(OR(E21="ND",E21="ND12,5"),2,0)),(-M21-J21)),IF($P$47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103" t="str">
        <f>IF(D21="","",VLOOKUP(D21,Datenblatt!$A$2:$D$31,4,FALSE))</f>
        <v/>
      </c>
      <c r="R21" s="104" t="str">
        <f>IF(E21="","",VLOOKUP(E21,Datenblatt!$E$2:$G$28,2,FALSE))</f>
        <v/>
      </c>
      <c r="S21" s="105"/>
      <c r="T21" s="111">
        <f t="shared" si="5"/>
        <v>0</v>
      </c>
      <c r="U21" s="114">
        <f t="array" ref="U21">IF(T20=0,0,IF(AND((ROW(T20)=MATCH(TRUE,($T$1:$T$43)&gt;0,0)),(D20="ND")),IF(T20&lt;3,T20,3),IF(AND(ROW(T20)=MATCH(TRUE,($T$1:$T$43)&gt;0,0),D20="ND12,5"),IF(T20&lt;2.5,T20,2.5),IF(D20="ND12,5",2.5,(T20-V20-W20)))))</f>
        <v>0</v>
      </c>
      <c r="V21" s="112">
        <f t="array" ref="V21">IF(T21=0,0,IF(AND((ROW(T21)=MATCH(TRUE,($T$1:$T$43)&gt;0,0)),(D21="ND")),IF(AND(T21&gt;11,T21&lt;=25),T21-11,0),IF(AND(ROW(T21)=MATCH(TRUE,($T$1:$T$43)&gt;0,0),D21="ND12,5"),IF(AND(T21&gt;10.5,T21&lt;=12.5),T21-10.5,0),IF(D21="ND12,5",2,IF(T21&lt;14,T21,14)))))</f>
        <v>0</v>
      </c>
      <c r="W21" s="112">
        <f t="array" ref="W21">IF(T21=0,0,IF(AND((ROW(T21)=MATCH(TRUE,($T$1:$T$43)&gt;0,0)),(D21="ND")),IF(AND(T21&gt;3,T21&lt;11),T21-3,IF(T21&gt;=11,8,0)),IF(AND((ROW(T21)=MATCH(TRUE,($T$1:$T$43)&gt;0,0)),(D21="ND12,5")),IF(AND(T21&gt;2.5,T21&lt;10.5),T21-2.5,IF(T21&gt;=10.5,8,0)),IF(D21="ND12,5",8,IF(AND(T21&gt;14,T21&lt;22),(T21-V21),IF(T21&gt;=22,8,0))))))</f>
        <v>0</v>
      </c>
      <c r="X21" s="254">
        <f t="array" ref="X21">IF(T21=0,0,IF((AND((ROW(T21)=MATCH(TRUE,($T$1:$T$43)&gt;0,0)))),IF(W21&gt;=6,W21-6,0),IF(W21&gt;=2,2,W21)))</f>
        <v>0</v>
      </c>
      <c r="Y21" s="254">
        <f t="array" ref="Y21">IF(T20=0,0,(IF((AND((ROW(T20)=MATCH(TRUE,($T$1:$T$43)&gt;0,0)))),IF(W20&gt;=6,6,W20),IF(W20&gt;=2,W20-2,0))))</f>
        <v>0</v>
      </c>
      <c r="Z21" s="111" t="str">
        <f t="shared" si="6"/>
        <v/>
      </c>
      <c r="AA21" s="214">
        <f>IF(E20="ND",IF(ISERROR(MATCH(D21,Datenblatt!$L$2:$L$18,0)),3,2),IF(E20="ND12,5",IF(ISERROR(MATCH(D21,Datenblatt!$L$2:$L$18,0)),2.5,2),0))</f>
        <v>0</v>
      </c>
      <c r="AB21" s="214">
        <f>IF((IF(E21="ND",14-IF(D21="",0,VLOOKUP(D21,Datenblatt!$L$2:$M$30,2,FALSE)),IF(E21="ND12,5",2,0)))&lt;0,0,(IF(E21="ND",14-IF(D21="",0,VLOOKUP(D21,Datenblatt!$L$2:$M$30,2,FALSE)),IF(E21="ND12,5",2,0))))</f>
        <v>0</v>
      </c>
      <c r="AC21" s="214">
        <f t="shared" si="7"/>
        <v>0</v>
      </c>
      <c r="AD21" s="214">
        <f t="shared" si="8"/>
        <v>0</v>
      </c>
      <c r="AE21" s="214">
        <f t="shared" si="9"/>
        <v>0</v>
      </c>
      <c r="AF21" s="112">
        <f t="shared" si="10"/>
        <v>0</v>
      </c>
      <c r="AG21" s="112">
        <f t="shared" si="11"/>
        <v>0</v>
      </c>
      <c r="AH21" s="112">
        <f>IF(E21="",0,VLOOKUP(E21,Datenblatt!$E$2:$G$28,3,FALSE))</f>
        <v>0</v>
      </c>
    </row>
    <row r="22" spans="1:34" ht="13" customHeight="1">
      <c r="A22" s="89" t="str">
        <f>IF(ISERROR(VLOOKUP(C22,Datenblatt!$B$84:$B$97,1,FALSE)),"","Ft")</f>
        <v/>
      </c>
      <c r="B22" s="84">
        <f t="shared" si="0"/>
        <v>45544</v>
      </c>
      <c r="C22" s="86">
        <f t="shared" si="4"/>
        <v>45544</v>
      </c>
      <c r="D22" s="67"/>
      <c r="E22" s="67"/>
      <c r="F22" s="68"/>
      <c r="G22" s="69"/>
      <c r="H22" s="68"/>
      <c r="I22" s="68"/>
      <c r="J22" s="99"/>
      <c r="K22" s="21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20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10" t="str">
        <f>IF(D22="","",IF(E21="ND",VLOOKUP(D22,Datenblatt!$A$2:$C$31,3,FALSE)-1,IF(E21="ND12,5",VLOOKUP(D22,Datenblatt!$A$2:$C$31,3,FALSE)-0.5,VLOOKUP(D22,Datenblatt!$A$2:$C$31,3,FALSE))))</f>
        <v/>
      </c>
      <c r="N22" s="211" t="str">
        <f t="shared" si="2"/>
        <v/>
      </c>
      <c r="O22" s="211" t="str">
        <f t="shared" si="3"/>
        <v/>
      </c>
      <c r="P22" s="186">
        <f>IF(D22="",IF($P$47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$47="Freizeit",(-M22-J22+IF(ISNUMBER(N22),(N22*1.5),0)+IF(ISNUMBER(O22),(O22*2),0)+IF(OR(E22="ND",E22="ND12,5"),2,0)),(-M22-J22)),IF($P$47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103" t="str">
        <f>IF(D22="","",VLOOKUP(D22,Datenblatt!$A$2:$D$31,4,FALSE))</f>
        <v/>
      </c>
      <c r="R22" s="104" t="str">
        <f>IF(E22="","",VLOOKUP(E22,Datenblatt!$E$2:$G$28,2,FALSE))</f>
        <v/>
      </c>
      <c r="S22" s="105"/>
      <c r="T22" s="111">
        <f t="shared" si="5"/>
        <v>0</v>
      </c>
      <c r="U22" s="114">
        <f t="array" ref="U22">IF(T21=0,0,IF(AND((ROW(T21)=MATCH(TRUE,($T$1:$T$43)&gt;0,0)),(D21="ND")),IF(T21&lt;3,T21,3),IF(AND(ROW(T21)=MATCH(TRUE,($T$1:$T$43)&gt;0,0),D21="ND12,5"),IF(T21&lt;2.5,T21,2.5),IF(D21="ND12,5",2.5,(T21-V21-W21)))))</f>
        <v>0</v>
      </c>
      <c r="V22" s="112">
        <f t="array" ref="V22">IF(T22=0,0,IF(AND((ROW(T22)=MATCH(TRUE,($T$1:$T$43)&gt;0,0)),(D22="ND")),IF(AND(T22&gt;11,T22&lt;=25),T22-11,0),IF(AND(ROW(T22)=MATCH(TRUE,($T$1:$T$43)&gt;0,0),D22="ND12,5"),IF(AND(T22&gt;10.5,T22&lt;=12.5),T22-10.5,0),IF(D22="ND12,5",2,IF(T22&lt;14,T22,14)))))</f>
        <v>0</v>
      </c>
      <c r="W22" s="112">
        <f t="array" ref="W22">IF(T22=0,0,IF(AND((ROW(T22)=MATCH(TRUE,($T$1:$T$43)&gt;0,0)),(D22="ND")),IF(AND(T22&gt;3,T22&lt;11),T22-3,IF(T22&gt;=11,8,0)),IF(AND((ROW(T22)=MATCH(TRUE,($T$1:$T$43)&gt;0,0)),(D22="ND12,5")),IF(AND(T22&gt;2.5,T22&lt;10.5),T22-2.5,IF(T22&gt;=10.5,8,0)),IF(D22="ND12,5",8,IF(AND(T22&gt;14,T22&lt;22),(T22-V22),IF(T22&gt;=22,8,0))))))</f>
        <v>0</v>
      </c>
      <c r="X22" s="254">
        <f t="array" ref="X22">IF(T22=0,0,IF((AND((ROW(T22)=MATCH(TRUE,($T$1:$T$43)&gt;0,0)))),IF(W22&gt;=6,W22-6,0),IF(W22&gt;=2,2,W22)))</f>
        <v>0</v>
      </c>
      <c r="Y22" s="254">
        <f t="array" ref="Y22">IF(T21=0,0,(IF((AND((ROW(T21)=MATCH(TRUE,($T$1:$T$43)&gt;0,0)))),IF(W21&gt;=6,6,W21),IF(W21&gt;=2,W21-2,0))))</f>
        <v>0</v>
      </c>
      <c r="Z22" s="111" t="str">
        <f t="shared" si="6"/>
        <v/>
      </c>
      <c r="AA22" s="214">
        <f>IF(E21="ND",IF(ISERROR(MATCH(D22,Datenblatt!$L$2:$L$18,0)),3,2),IF(E21="ND12,5",IF(ISERROR(MATCH(D22,Datenblatt!$L$2:$L$18,0)),2.5,2),0))</f>
        <v>0</v>
      </c>
      <c r="AB22" s="214">
        <f>IF((IF(E22="ND",14-IF(D22="",0,VLOOKUP(D22,Datenblatt!$L$2:$M$30,2,FALSE)),IF(E22="ND12,5",2,0)))&lt;0,0,(IF(E22="ND",14-IF(D22="",0,VLOOKUP(D22,Datenblatt!$L$2:$M$30,2,FALSE)),IF(E22="ND12,5",2,0))))</f>
        <v>0</v>
      </c>
      <c r="AC22" s="214">
        <f t="shared" si="7"/>
        <v>0</v>
      </c>
      <c r="AD22" s="214">
        <f t="shared" si="8"/>
        <v>0</v>
      </c>
      <c r="AE22" s="214">
        <f t="shared" si="9"/>
        <v>0</v>
      </c>
      <c r="AF22" s="112">
        <f t="shared" si="10"/>
        <v>0</v>
      </c>
      <c r="AG22" s="112">
        <f t="shared" si="11"/>
        <v>0</v>
      </c>
      <c r="AH22" s="112">
        <f>IF(E22="",0,VLOOKUP(E22,Datenblatt!$E$2:$G$28,3,FALSE))</f>
        <v>0</v>
      </c>
    </row>
    <row r="23" spans="1:34" ht="13" customHeight="1">
      <c r="A23" s="89" t="str">
        <f>IF(ISERROR(VLOOKUP(C23,Datenblatt!$B$84:$B$97,1,FALSE)),"","Ft")</f>
        <v/>
      </c>
      <c r="B23" s="84">
        <f t="shared" si="0"/>
        <v>45545</v>
      </c>
      <c r="C23" s="86">
        <f t="shared" si="4"/>
        <v>45545</v>
      </c>
      <c r="D23" s="67"/>
      <c r="E23" s="67"/>
      <c r="F23" s="68"/>
      <c r="G23" s="69"/>
      <c r="H23" s="68"/>
      <c r="I23" s="68"/>
      <c r="J23" s="99"/>
      <c r="K23" s="21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20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10" t="str">
        <f>IF(D23="","",IF(E22="ND",VLOOKUP(D23,Datenblatt!$A$2:$C$31,3,FALSE)-1,IF(E22="ND12,5",VLOOKUP(D23,Datenblatt!$A$2:$C$31,3,FALSE)-0.5,VLOOKUP(D23,Datenblatt!$A$2:$C$31,3,FALSE))))</f>
        <v/>
      </c>
      <c r="N23" s="211" t="str">
        <f t="shared" si="2"/>
        <v/>
      </c>
      <c r="O23" s="211" t="str">
        <f t="shared" si="3"/>
        <v/>
      </c>
      <c r="P23" s="186">
        <f>IF(D23="",IF($P$47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$47="Freizeit",(-M23-J23+IF(ISNUMBER(N23),(N23*1.5),0)+IF(ISNUMBER(O23),(O23*2),0)+IF(OR(E23="ND",E23="ND12,5"),2,0)),(-M23-J23)),IF($P$47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103" t="str">
        <f>IF(D23="","",VLOOKUP(D23,Datenblatt!$A$2:$D$31,4,FALSE))</f>
        <v/>
      </c>
      <c r="R23" s="104" t="str">
        <f>IF(E23="","",VLOOKUP(E23,Datenblatt!$E$2:$G$28,2,FALSE))</f>
        <v/>
      </c>
      <c r="S23" s="105"/>
      <c r="T23" s="111">
        <f t="shared" si="5"/>
        <v>0</v>
      </c>
      <c r="U23" s="114">
        <f t="array" ref="U23">IF(T22=0,0,IF(AND((ROW(T22)=MATCH(TRUE,($T$1:$T$43)&gt;0,0)),(D22="ND")),IF(T22&lt;3,T22,3),IF(AND(ROW(T22)=MATCH(TRUE,($T$1:$T$43)&gt;0,0),D22="ND12,5"),IF(T22&lt;2.5,T22,2.5),IF(D22="ND12,5",2.5,(T22-V22-W22)))))</f>
        <v>0</v>
      </c>
      <c r="V23" s="112">
        <f t="array" ref="V23">IF(T23=0,0,IF(AND((ROW(T23)=MATCH(TRUE,($T$1:$T$43)&gt;0,0)),(D23="ND")),IF(AND(T23&gt;11,T23&lt;=25),T23-11,0),IF(AND(ROW(T23)=MATCH(TRUE,($T$1:$T$43)&gt;0,0),D23="ND12,5"),IF(AND(T23&gt;10.5,T23&lt;=12.5),T23-10.5,0),IF(D23="ND12,5",2,IF(T23&lt;14,T23,14)))))</f>
        <v>0</v>
      </c>
      <c r="W23" s="112">
        <f t="array" ref="W23">IF(T23=0,0,IF(AND((ROW(T23)=MATCH(TRUE,($T$1:$T$43)&gt;0,0)),(D23="ND")),IF(AND(T23&gt;3,T23&lt;11),T23-3,IF(T23&gt;=11,8,0)),IF(AND((ROW(T23)=MATCH(TRUE,($T$1:$T$43)&gt;0,0)),(D23="ND12,5")),IF(AND(T23&gt;2.5,T23&lt;10.5),T23-2.5,IF(T23&gt;=10.5,8,0)),IF(D23="ND12,5",8,IF(AND(T23&gt;14,T23&lt;22),(T23-V23),IF(T23&gt;=22,8,0))))))</f>
        <v>0</v>
      </c>
      <c r="X23" s="254">
        <f t="array" ref="X23">IF(T23=0,0,IF((AND((ROW(T23)=MATCH(TRUE,($T$1:$T$43)&gt;0,0)))),IF(W23&gt;=6,W23-6,0),IF(W23&gt;=2,2,W23)))</f>
        <v>0</v>
      </c>
      <c r="Y23" s="254">
        <f t="array" ref="Y23">IF(T22=0,0,(IF((AND((ROW(T22)=MATCH(TRUE,($T$1:$T$43)&gt;0,0)))),IF(W22&gt;=6,6,W22),IF(W22&gt;=2,W22-2,0))))</f>
        <v>0</v>
      </c>
      <c r="Z23" s="111" t="str">
        <f t="shared" si="6"/>
        <v/>
      </c>
      <c r="AA23" s="214">
        <f>IF(E22="ND",IF(ISERROR(MATCH(D23,Datenblatt!$L$2:$L$18,0)),3,2),IF(E22="ND12,5",IF(ISERROR(MATCH(D23,Datenblatt!$L$2:$L$18,0)),2.5,2),0))</f>
        <v>0</v>
      </c>
      <c r="AB23" s="214">
        <f>IF((IF(E23="ND",14-IF(D23="",0,VLOOKUP(D23,Datenblatt!$L$2:$M$30,2,FALSE)),IF(E23="ND12,5",2,0)))&lt;0,0,(IF(E23="ND",14-IF(D23="",0,VLOOKUP(D23,Datenblatt!$L$2:$M$30,2,FALSE)),IF(E23="ND12,5",2,0))))</f>
        <v>0</v>
      </c>
      <c r="AC23" s="214">
        <f t="shared" si="7"/>
        <v>0</v>
      </c>
      <c r="AD23" s="214">
        <f t="shared" si="8"/>
        <v>0</v>
      </c>
      <c r="AE23" s="214">
        <f t="shared" si="9"/>
        <v>0</v>
      </c>
      <c r="AF23" s="112">
        <f t="shared" si="10"/>
        <v>0</v>
      </c>
      <c r="AG23" s="112">
        <f t="shared" si="11"/>
        <v>0</v>
      </c>
      <c r="AH23" s="112">
        <f>IF(E23="",0,VLOOKUP(E23,Datenblatt!$E$2:$G$28,3,FALSE))</f>
        <v>0</v>
      </c>
    </row>
    <row r="24" spans="1:34" ht="13" customHeight="1">
      <c r="A24" s="89" t="str">
        <f>IF(ISERROR(VLOOKUP(C24,Datenblatt!$B$84:$B$97,1,FALSE)),"","Ft")</f>
        <v/>
      </c>
      <c r="B24" s="84">
        <f t="shared" si="0"/>
        <v>45546</v>
      </c>
      <c r="C24" s="86">
        <f t="shared" si="4"/>
        <v>45546</v>
      </c>
      <c r="D24" s="67"/>
      <c r="E24" s="67"/>
      <c r="F24" s="68"/>
      <c r="G24" s="69"/>
      <c r="H24" s="68"/>
      <c r="I24" s="68"/>
      <c r="J24" s="99"/>
      <c r="K24" s="21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20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10" t="str">
        <f>IF(D24="","",IF(E23="ND",VLOOKUP(D24,Datenblatt!$A$2:$C$31,3,FALSE)-1,IF(E23="ND12,5",VLOOKUP(D24,Datenblatt!$A$2:$C$31,3,FALSE)-0.5,VLOOKUP(D24,Datenblatt!$A$2:$C$31,3,FALSE))))</f>
        <v/>
      </c>
      <c r="N24" s="211" t="str">
        <f t="shared" si="2"/>
        <v/>
      </c>
      <c r="O24" s="211" t="str">
        <f t="shared" si="3"/>
        <v/>
      </c>
      <c r="P24" s="186">
        <f>IF(D24="",IF($P$47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$47="Freizeit",(-M24-J24+IF(ISNUMBER(N24),(N24*1.5),0)+IF(ISNUMBER(O24),(O24*2),0)+IF(OR(E24="ND",E24="ND12,5"),2,0)),(-M24-J24)),IF($P$47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103" t="str">
        <f>IF(D24="","",VLOOKUP(D24,Datenblatt!$A$2:$D$31,4,FALSE))</f>
        <v/>
      </c>
      <c r="R24" s="104" t="str">
        <f>IF(E24="","",VLOOKUP(E24,Datenblatt!$E$2:$G$28,2,FALSE))</f>
        <v/>
      </c>
      <c r="S24" s="105"/>
      <c r="T24" s="111">
        <f t="shared" si="5"/>
        <v>0</v>
      </c>
      <c r="U24" s="114">
        <f t="array" ref="U24">IF(T23=0,0,IF(AND((ROW(T23)=MATCH(TRUE,($T$1:$T$43)&gt;0,0)),(D23="ND")),IF(T23&lt;3,T23,3),IF(AND(ROW(T23)=MATCH(TRUE,($T$1:$T$43)&gt;0,0),D23="ND12,5"),IF(T23&lt;2.5,T23,2.5),IF(D23="ND12,5",2.5,(T23-V23-W23)))))</f>
        <v>0</v>
      </c>
      <c r="V24" s="112">
        <f t="array" ref="V24">IF(T24=0,0,IF(AND((ROW(T24)=MATCH(TRUE,($T$1:$T$43)&gt;0,0)),(D24="ND")),IF(AND(T24&gt;11,T24&lt;=25),T24-11,0),IF(AND(ROW(T24)=MATCH(TRUE,($T$1:$T$43)&gt;0,0),D24="ND12,5"),IF(AND(T24&gt;10.5,T24&lt;=12.5),T24-10.5,0),IF(D24="ND12,5",2,IF(T24&lt;14,T24,14)))))</f>
        <v>0</v>
      </c>
      <c r="W24" s="112">
        <f t="array" ref="W24">IF(T24=0,0,IF(AND((ROW(T24)=MATCH(TRUE,($T$1:$T$43)&gt;0,0)),(D24="ND")),IF(AND(T24&gt;3,T24&lt;11),T24-3,IF(T24&gt;=11,8,0)),IF(AND((ROW(T24)=MATCH(TRUE,($T$1:$T$43)&gt;0,0)),(D24="ND12,5")),IF(AND(T24&gt;2.5,T24&lt;10.5),T24-2.5,IF(T24&gt;=10.5,8,0)),IF(D24="ND12,5",8,IF(AND(T24&gt;14,T24&lt;22),(T24-V24),IF(T24&gt;=22,8,0))))))</f>
        <v>0</v>
      </c>
      <c r="X24" s="254">
        <f t="array" ref="X24">IF(T24=0,0,IF((AND((ROW(T24)=MATCH(TRUE,($T$1:$T$43)&gt;0,0)))),IF(W24&gt;=6,W24-6,0),IF(W24&gt;=2,2,W24)))</f>
        <v>0</v>
      </c>
      <c r="Y24" s="254">
        <f t="array" ref="Y24">IF(T23=0,0,(IF((AND((ROW(T23)=MATCH(TRUE,($T$1:$T$43)&gt;0,0)))),IF(W23&gt;=6,6,W23),IF(W23&gt;=2,W23-2,0))))</f>
        <v>0</v>
      </c>
      <c r="Z24" s="111" t="str">
        <f t="shared" si="6"/>
        <v/>
      </c>
      <c r="AA24" s="214">
        <f>IF(E23="ND",IF(ISERROR(MATCH(D24,Datenblatt!$L$2:$L$18,0)),3,2),IF(E23="ND12,5",IF(ISERROR(MATCH(D24,Datenblatt!$L$2:$L$18,0)),2.5,2),0))</f>
        <v>0</v>
      </c>
      <c r="AB24" s="214">
        <f>IF((IF(E24="ND",14-IF(D24="",0,VLOOKUP(D24,Datenblatt!$L$2:$M$30,2,FALSE)),IF(E24="ND12,5",2,0)))&lt;0,0,(IF(E24="ND",14-IF(D24="",0,VLOOKUP(D24,Datenblatt!$L$2:$M$30,2,FALSE)),IF(E24="ND12,5",2,0))))</f>
        <v>0</v>
      </c>
      <c r="AC24" s="214">
        <f t="shared" si="7"/>
        <v>0</v>
      </c>
      <c r="AD24" s="214">
        <f t="shared" si="8"/>
        <v>0</v>
      </c>
      <c r="AE24" s="214">
        <f t="shared" si="9"/>
        <v>0</v>
      </c>
      <c r="AF24" s="112">
        <f t="shared" si="10"/>
        <v>0</v>
      </c>
      <c r="AG24" s="112">
        <f t="shared" si="11"/>
        <v>0</v>
      </c>
      <c r="AH24" s="112">
        <f>IF(E24="",0,VLOOKUP(E24,Datenblatt!$E$2:$G$28,3,FALSE))</f>
        <v>0</v>
      </c>
    </row>
    <row r="25" spans="1:34" ht="13" customHeight="1">
      <c r="A25" s="89" t="str">
        <f>IF(ISERROR(VLOOKUP(C25,Datenblatt!$B$84:$B$97,1,FALSE)),"","Ft")</f>
        <v/>
      </c>
      <c r="B25" s="84">
        <f t="shared" si="0"/>
        <v>45547</v>
      </c>
      <c r="C25" s="86">
        <f t="shared" si="4"/>
        <v>45547</v>
      </c>
      <c r="D25" s="67"/>
      <c r="E25" s="67"/>
      <c r="F25" s="68"/>
      <c r="G25" s="69"/>
      <c r="H25" s="68"/>
      <c r="I25" s="68"/>
      <c r="J25" s="99"/>
      <c r="K25" s="21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20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10" t="str">
        <f>IF(D25="","",IF(E24="ND",VLOOKUP(D25,Datenblatt!$A$2:$C$31,3,FALSE)-1,IF(E24="ND12,5",VLOOKUP(D25,Datenblatt!$A$2:$C$31,3,FALSE)-0.5,VLOOKUP(D25,Datenblatt!$A$2:$C$31,3,FALSE))))</f>
        <v/>
      </c>
      <c r="N25" s="211" t="str">
        <f t="shared" si="2"/>
        <v/>
      </c>
      <c r="O25" s="211" t="str">
        <f t="shared" si="3"/>
        <v/>
      </c>
      <c r="P25" s="186">
        <f>IF(D25="",IF($P$47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$47="Freizeit",(-M25-J25+IF(ISNUMBER(N25),(N25*1.5),0)+IF(ISNUMBER(O25),(O25*2),0)+IF(OR(E25="ND",E25="ND12,5"),2,0)),(-M25-J25)),IF($P$47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103" t="str">
        <f>IF(D25="","",VLOOKUP(D25,Datenblatt!$A$2:$D$31,4,FALSE))</f>
        <v/>
      </c>
      <c r="R25" s="104" t="str">
        <f>IF(E25="","",VLOOKUP(E25,Datenblatt!$E$2:$G$28,2,FALSE))</f>
        <v/>
      </c>
      <c r="S25" s="105"/>
      <c r="T25" s="111">
        <f t="shared" si="5"/>
        <v>0</v>
      </c>
      <c r="U25" s="114">
        <f t="array" ref="U25">IF(T24=0,0,IF(AND((ROW(T24)=MATCH(TRUE,($T$1:$T$43)&gt;0,0)),(D24="ND")),IF(T24&lt;3,T24,3),IF(AND(ROW(T24)=MATCH(TRUE,($T$1:$T$43)&gt;0,0),D24="ND12,5"),IF(T24&lt;2.5,T24,2.5),IF(D24="ND12,5",2.5,(T24-V24-W24)))))</f>
        <v>0</v>
      </c>
      <c r="V25" s="112">
        <f t="array" ref="V25">IF(T25=0,0,IF(AND((ROW(T25)=MATCH(TRUE,($T$1:$T$43)&gt;0,0)),(D25="ND")),IF(AND(T25&gt;11,T25&lt;=25),T25-11,0),IF(AND(ROW(T25)=MATCH(TRUE,($T$1:$T$43)&gt;0,0),D25="ND12,5"),IF(AND(T25&gt;10.5,T25&lt;=12.5),T25-10.5,0),IF(D25="ND12,5",2,IF(T25&lt;14,T25,14)))))</f>
        <v>0</v>
      </c>
      <c r="W25" s="112">
        <f t="array" ref="W25">IF(T25=0,0,IF(AND((ROW(T25)=MATCH(TRUE,($T$1:$T$43)&gt;0,0)),(D25="ND")),IF(AND(T25&gt;3,T25&lt;11),T25-3,IF(T25&gt;=11,8,0)),IF(AND((ROW(T25)=MATCH(TRUE,($T$1:$T$43)&gt;0,0)),(D25="ND12,5")),IF(AND(T25&gt;2.5,T25&lt;10.5),T25-2.5,IF(T25&gt;=10.5,8,0)),IF(D25="ND12,5",8,IF(AND(T25&gt;14,T25&lt;22),(T25-V25),IF(T25&gt;=22,8,0))))))</f>
        <v>0</v>
      </c>
      <c r="X25" s="254">
        <f t="array" ref="X25">IF(T25=0,0,IF((AND((ROW(T25)=MATCH(TRUE,($T$1:$T$43)&gt;0,0)))),IF(W25&gt;=6,W25-6,0),IF(W25&gt;=2,2,W25)))</f>
        <v>0</v>
      </c>
      <c r="Y25" s="254">
        <f t="array" ref="Y25">IF(T24=0,0,(IF((AND((ROW(T24)=MATCH(TRUE,($T$1:$T$43)&gt;0,0)))),IF(W24&gt;=6,6,W24),IF(W24&gt;=2,W24-2,0))))</f>
        <v>0</v>
      </c>
      <c r="Z25" s="111" t="str">
        <f t="shared" si="6"/>
        <v/>
      </c>
      <c r="AA25" s="214">
        <f>IF(E24="ND",IF(ISERROR(MATCH(D25,Datenblatt!$L$2:$L$18,0)),3,2),IF(E24="ND12,5",IF(ISERROR(MATCH(D25,Datenblatt!$L$2:$L$18,0)),2.5,2),0))</f>
        <v>0</v>
      </c>
      <c r="AB25" s="214">
        <f>IF((IF(E25="ND",14-IF(D25="",0,VLOOKUP(D25,Datenblatt!$L$2:$M$30,2,FALSE)),IF(E25="ND12,5",2,0)))&lt;0,0,(IF(E25="ND",14-IF(D25="",0,VLOOKUP(D25,Datenblatt!$L$2:$M$30,2,FALSE)),IF(E25="ND12,5",2,0))))</f>
        <v>0</v>
      </c>
      <c r="AC25" s="214">
        <f t="shared" si="7"/>
        <v>0</v>
      </c>
      <c r="AD25" s="214">
        <f t="shared" si="8"/>
        <v>0</v>
      </c>
      <c r="AE25" s="214">
        <f t="shared" si="9"/>
        <v>0</v>
      </c>
      <c r="AF25" s="112">
        <f t="shared" si="10"/>
        <v>0</v>
      </c>
      <c r="AG25" s="112">
        <f t="shared" si="11"/>
        <v>0</v>
      </c>
      <c r="AH25" s="112">
        <f>IF(E25="",0,VLOOKUP(E25,Datenblatt!$E$2:$G$28,3,FALSE))</f>
        <v>0</v>
      </c>
    </row>
    <row r="26" spans="1:34" ht="13" customHeight="1">
      <c r="A26" s="89" t="str">
        <f>IF(ISERROR(VLOOKUP(C26,Datenblatt!$B$84:$B$97,1,FALSE)),"","Ft")</f>
        <v/>
      </c>
      <c r="B26" s="84">
        <f t="shared" si="0"/>
        <v>45548</v>
      </c>
      <c r="C26" s="86">
        <f t="shared" si="4"/>
        <v>45548</v>
      </c>
      <c r="D26" s="67"/>
      <c r="E26" s="67"/>
      <c r="F26" s="68"/>
      <c r="G26" s="69"/>
      <c r="H26" s="68"/>
      <c r="I26" s="68"/>
      <c r="J26" s="99"/>
      <c r="K26" s="21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20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10" t="str">
        <f>IF(D26="","",IF(E25="ND",VLOOKUP(D26,Datenblatt!$A$2:$C$31,3,FALSE)-1,IF(E25="ND12,5",VLOOKUP(D26,Datenblatt!$A$2:$C$31,3,FALSE)-0.5,VLOOKUP(D26,Datenblatt!$A$2:$C$31,3,FALSE))))</f>
        <v/>
      </c>
      <c r="N26" s="211" t="str">
        <f t="shared" si="2"/>
        <v/>
      </c>
      <c r="O26" s="211" t="str">
        <f t="shared" si="3"/>
        <v/>
      </c>
      <c r="P26" s="186">
        <f>IF(D26="",IF($P$47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$47="Freizeit",(-M26-J26+IF(ISNUMBER(N26),(N26*1.5),0)+IF(ISNUMBER(O26),(O26*2),0)+IF(OR(E26="ND",E26="ND12,5"),2,0)),(-M26-J26)),IF($P$47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103" t="str">
        <f>IF(D26="","",VLOOKUP(D26,Datenblatt!$A$2:$D$31,4,FALSE))</f>
        <v/>
      </c>
      <c r="R26" s="104" t="str">
        <f>IF(E26="","",VLOOKUP(E26,Datenblatt!$E$2:$G$28,2,FALSE))</f>
        <v/>
      </c>
      <c r="S26" s="105"/>
      <c r="T26" s="111">
        <f t="shared" si="5"/>
        <v>0</v>
      </c>
      <c r="U26" s="114">
        <f t="array" ref="U26">IF(T25=0,0,IF(AND((ROW(T25)=MATCH(TRUE,($T$1:$T$43)&gt;0,0)),(D25="ND")),IF(T25&lt;3,T25,3),IF(AND(ROW(T25)=MATCH(TRUE,($T$1:$T$43)&gt;0,0),D25="ND12,5"),IF(T25&lt;2.5,T25,2.5),IF(D25="ND12,5",2.5,(T25-V25-W25)))))</f>
        <v>0</v>
      </c>
      <c r="V26" s="112">
        <f t="array" ref="V26">IF(T26=0,0,IF(AND((ROW(T26)=MATCH(TRUE,($T$1:$T$43)&gt;0,0)),(D26="ND")),IF(AND(T26&gt;11,T26&lt;=25),T26-11,0),IF(AND(ROW(T26)=MATCH(TRUE,($T$1:$T$43)&gt;0,0),D26="ND12,5"),IF(AND(T26&gt;10.5,T26&lt;=12.5),T26-10.5,0),IF(D26="ND12,5",2,IF(T26&lt;14,T26,14)))))</f>
        <v>0</v>
      </c>
      <c r="W26" s="112">
        <f t="array" ref="W26">IF(T26=0,0,IF(AND((ROW(T26)=MATCH(TRUE,($T$1:$T$43)&gt;0,0)),(D26="ND")),IF(AND(T26&gt;3,T26&lt;11),T26-3,IF(T26&gt;=11,8,0)),IF(AND((ROW(T26)=MATCH(TRUE,($T$1:$T$43)&gt;0,0)),(D26="ND12,5")),IF(AND(T26&gt;2.5,T26&lt;10.5),T26-2.5,IF(T26&gt;=10.5,8,0)),IF(D26="ND12,5",8,IF(AND(T26&gt;14,T26&lt;22),(T26-V26),IF(T26&gt;=22,8,0))))))</f>
        <v>0</v>
      </c>
      <c r="X26" s="254">
        <f t="array" ref="X26">IF(T26=0,0,IF((AND((ROW(T26)=MATCH(TRUE,($T$1:$T$43)&gt;0,0)))),IF(W26&gt;=6,W26-6,0),IF(W26&gt;=2,2,W26)))</f>
        <v>0</v>
      </c>
      <c r="Y26" s="254">
        <f t="array" ref="Y26">IF(T25=0,0,(IF((AND((ROW(T25)=MATCH(TRUE,($T$1:$T$43)&gt;0,0)))),IF(W25&gt;=6,6,W25),IF(W25&gt;=2,W25-2,0))))</f>
        <v>0</v>
      </c>
      <c r="Z26" s="111" t="str">
        <f t="shared" si="6"/>
        <v/>
      </c>
      <c r="AA26" s="214">
        <f>IF(E25="ND",IF(ISERROR(MATCH(D26,Datenblatt!$L$2:$L$18,0)),3,2),IF(E25="ND12,5",IF(ISERROR(MATCH(D26,Datenblatt!$L$2:$L$18,0)),2.5,2),0))</f>
        <v>0</v>
      </c>
      <c r="AB26" s="214">
        <f>IF((IF(E26="ND",14-IF(D26="",0,VLOOKUP(D26,Datenblatt!$L$2:$M$30,2,FALSE)),IF(E26="ND12,5",2,0)))&lt;0,0,(IF(E26="ND",14-IF(D26="",0,VLOOKUP(D26,Datenblatt!$L$2:$M$30,2,FALSE)),IF(E26="ND12,5",2,0))))</f>
        <v>0</v>
      </c>
      <c r="AC26" s="214">
        <f t="shared" si="7"/>
        <v>0</v>
      </c>
      <c r="AD26" s="214">
        <f t="shared" si="8"/>
        <v>0</v>
      </c>
      <c r="AE26" s="214">
        <f t="shared" si="9"/>
        <v>0</v>
      </c>
      <c r="AF26" s="112">
        <f t="shared" si="10"/>
        <v>0</v>
      </c>
      <c r="AG26" s="112">
        <f t="shared" si="11"/>
        <v>0</v>
      </c>
      <c r="AH26" s="112">
        <f>IF(E26="",0,VLOOKUP(E26,Datenblatt!$E$2:$G$28,3,FALSE))</f>
        <v>0</v>
      </c>
    </row>
    <row r="27" spans="1:34" ht="13" customHeight="1">
      <c r="A27" s="89" t="str">
        <f>IF(ISERROR(VLOOKUP(C27,Datenblatt!$B$84:$B$97,1,FALSE)),"","Ft")</f>
        <v/>
      </c>
      <c r="B27" s="84">
        <f t="shared" si="0"/>
        <v>45549</v>
      </c>
      <c r="C27" s="86">
        <f t="shared" si="4"/>
        <v>45549</v>
      </c>
      <c r="D27" s="67"/>
      <c r="E27" s="67"/>
      <c r="F27" s="68"/>
      <c r="G27" s="69"/>
      <c r="H27" s="68"/>
      <c r="I27" s="68"/>
      <c r="J27" s="99"/>
      <c r="K27" s="21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20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10" t="str">
        <f>IF(D27="","",IF(E26="ND",VLOOKUP(D27,Datenblatt!$A$2:$C$31,3,FALSE)-1,IF(E26="ND12,5",VLOOKUP(D27,Datenblatt!$A$2:$C$31,3,FALSE)-0.5,VLOOKUP(D27,Datenblatt!$A$2:$C$31,3,FALSE))))</f>
        <v/>
      </c>
      <c r="N27" s="211" t="str">
        <f t="shared" si="2"/>
        <v/>
      </c>
      <c r="O27" s="211" t="str">
        <f t="shared" si="3"/>
        <v/>
      </c>
      <c r="P27" s="186">
        <f>IF(D27="",IF($P$47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$47="Freizeit",(-M27-J27+IF(ISNUMBER(N27),(N27*1.5),0)+IF(ISNUMBER(O27),(O27*2),0)+IF(OR(E27="ND",E27="ND12,5"),2,0)),(-M27-J27)),IF($P$47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103" t="str">
        <f>IF(D27="","",VLOOKUP(D27,Datenblatt!$A$2:$D$31,4,FALSE))</f>
        <v/>
      </c>
      <c r="R27" s="104" t="str">
        <f>IF(E27="","",VLOOKUP(E27,Datenblatt!$E$2:$G$28,2,FALSE))</f>
        <v/>
      </c>
      <c r="S27" s="105"/>
      <c r="T27" s="111">
        <f t="shared" si="5"/>
        <v>0</v>
      </c>
      <c r="U27" s="114">
        <f t="array" ref="U27">IF(T26=0,0,IF(AND((ROW(T26)=MATCH(TRUE,($T$1:$T$43)&gt;0,0)),(D26="ND")),IF(T26&lt;3,T26,3),IF(AND(ROW(T26)=MATCH(TRUE,($T$1:$T$43)&gt;0,0),D26="ND12,5"),IF(T26&lt;2.5,T26,2.5),IF(D26="ND12,5",2.5,(T26-V26-W26)))))</f>
        <v>0</v>
      </c>
      <c r="V27" s="112">
        <f t="array" ref="V27">IF(T27=0,0,IF(AND((ROW(T27)=MATCH(TRUE,($T$1:$T$43)&gt;0,0)),(D27="ND")),IF(AND(T27&gt;11,T27&lt;=25),T27-11,0),IF(AND(ROW(T27)=MATCH(TRUE,($T$1:$T$43)&gt;0,0),D27="ND12,5"),IF(AND(T27&gt;10.5,T27&lt;=12.5),T27-10.5,0),IF(D27="ND12,5",2,IF(T27&lt;14,T27,14)))))</f>
        <v>0</v>
      </c>
      <c r="W27" s="112">
        <f t="array" ref="W27">IF(T27=0,0,IF(AND((ROW(T27)=MATCH(TRUE,($T$1:$T$43)&gt;0,0)),(D27="ND")),IF(AND(T27&gt;3,T27&lt;11),T27-3,IF(T27&gt;=11,8,0)),IF(AND((ROW(T27)=MATCH(TRUE,($T$1:$T$43)&gt;0,0)),(D27="ND12,5")),IF(AND(T27&gt;2.5,T27&lt;10.5),T27-2.5,IF(T27&gt;=10.5,8,0)),IF(D27="ND12,5",8,IF(AND(T27&gt;14,T27&lt;22),(T27-V27),IF(T27&gt;=22,8,0))))))</f>
        <v>0</v>
      </c>
      <c r="X27" s="254">
        <f t="array" ref="X27">IF(T27=0,0,IF((AND((ROW(T27)=MATCH(TRUE,($T$1:$T$43)&gt;0,0)))),IF(W27&gt;=6,W27-6,0),IF(W27&gt;=2,2,W27)))</f>
        <v>0</v>
      </c>
      <c r="Y27" s="254">
        <f t="array" ref="Y27">IF(T26=0,0,(IF((AND((ROW(T26)=MATCH(TRUE,($T$1:$T$43)&gt;0,0)))),IF(W26&gt;=6,6,W26),IF(W26&gt;=2,W26-2,0))))</f>
        <v>0</v>
      </c>
      <c r="Z27" s="111" t="str">
        <f t="shared" si="6"/>
        <v/>
      </c>
      <c r="AA27" s="214">
        <f>IF(E26="ND",IF(ISERROR(MATCH(D27,Datenblatt!$L$2:$L$18,0)),3,2),IF(E26="ND12,5",IF(ISERROR(MATCH(D27,Datenblatt!$L$2:$L$18,0)),2.5,2),0))</f>
        <v>0</v>
      </c>
      <c r="AB27" s="214">
        <f>IF((IF(E27="ND",14-IF(D27="",0,VLOOKUP(D27,Datenblatt!$L$2:$M$30,2,FALSE)),IF(E27="ND12,5",2,0)))&lt;0,0,(IF(E27="ND",14-IF(D27="",0,VLOOKUP(D27,Datenblatt!$L$2:$M$30,2,FALSE)),IF(E27="ND12,5",2,0))))</f>
        <v>0</v>
      </c>
      <c r="AC27" s="214">
        <f t="shared" si="7"/>
        <v>0</v>
      </c>
      <c r="AD27" s="214">
        <f t="shared" si="8"/>
        <v>0</v>
      </c>
      <c r="AE27" s="214">
        <f t="shared" si="9"/>
        <v>0</v>
      </c>
      <c r="AF27" s="112">
        <f t="shared" si="10"/>
        <v>0</v>
      </c>
      <c r="AG27" s="112">
        <f t="shared" si="11"/>
        <v>0</v>
      </c>
      <c r="AH27" s="112">
        <f>IF(E27="",0,VLOOKUP(E27,Datenblatt!$E$2:$G$28,3,FALSE))</f>
        <v>0</v>
      </c>
    </row>
    <row r="28" spans="1:34" ht="13" customHeight="1">
      <c r="A28" s="89" t="str">
        <f>IF(ISERROR(VLOOKUP(C28,Datenblatt!$B$84:$B$97,1,FALSE)),"","Ft")</f>
        <v/>
      </c>
      <c r="B28" s="84">
        <f t="shared" si="0"/>
        <v>45550</v>
      </c>
      <c r="C28" s="86">
        <f t="shared" si="4"/>
        <v>45550</v>
      </c>
      <c r="D28" s="67"/>
      <c r="E28" s="67"/>
      <c r="F28" s="68"/>
      <c r="G28" s="69"/>
      <c r="H28" s="68"/>
      <c r="I28" s="68"/>
      <c r="J28" s="99"/>
      <c r="K28" s="21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20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10" t="str">
        <f>IF(D28="","",IF(E27="ND",VLOOKUP(D28,Datenblatt!$A$2:$C$31,3,FALSE)-1,IF(E27="ND12,5",VLOOKUP(D28,Datenblatt!$A$2:$C$31,3,FALSE)-0.5,VLOOKUP(D28,Datenblatt!$A$2:$C$31,3,FALSE))))</f>
        <v/>
      </c>
      <c r="N28" s="211" t="str">
        <f t="shared" si="2"/>
        <v/>
      </c>
      <c r="O28" s="211">
        <f t="shared" si="3"/>
        <v>0</v>
      </c>
      <c r="P28" s="186">
        <f>IF(D28="",IF($P$47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$47="Freizeit",(-M28-J28+IF(ISNUMBER(N28),(N28*1.5),0)+IF(ISNUMBER(O28),(O28*2),0)+IF(OR(E28="ND",E28="ND12,5"),2,0)),(-M28-J28)),IF($P$47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103" t="str">
        <f>IF(D28="","",VLOOKUP(D28,Datenblatt!$A$2:$D$31,4,FALSE))</f>
        <v/>
      </c>
      <c r="R28" s="104" t="str">
        <f>IF(E28="","",VLOOKUP(E28,Datenblatt!$E$2:$G$28,2,FALSE))</f>
        <v/>
      </c>
      <c r="S28" s="105"/>
      <c r="T28" s="111">
        <f t="shared" si="5"/>
        <v>0</v>
      </c>
      <c r="U28" s="114">
        <f t="array" ref="U28">IF(T27=0,0,IF(AND((ROW(T27)=MATCH(TRUE,($T$1:$T$43)&gt;0,0)),(D27="ND")),IF(T27&lt;3,T27,3),IF(AND(ROW(T27)=MATCH(TRUE,($T$1:$T$43)&gt;0,0),D27="ND12,5"),IF(T27&lt;2.5,T27,2.5),IF(D27="ND12,5",2.5,(T27-V27-W27)))))</f>
        <v>0</v>
      </c>
      <c r="V28" s="112">
        <f t="array" ref="V28">IF(T28=0,0,IF(AND((ROW(T28)=MATCH(TRUE,($T$1:$T$43)&gt;0,0)),(D28="ND")),IF(AND(T28&gt;11,T28&lt;=25),T28-11,0),IF(AND(ROW(T28)=MATCH(TRUE,($T$1:$T$43)&gt;0,0),D28="ND12,5"),IF(AND(T28&gt;10.5,T28&lt;=12.5),T28-10.5,0),IF(D28="ND12,5",2,IF(T28&lt;14,T28,14)))))</f>
        <v>0</v>
      </c>
      <c r="W28" s="112">
        <f t="array" ref="W28">IF(T28=0,0,IF(AND((ROW(T28)=MATCH(TRUE,($T$1:$T$43)&gt;0,0)),(D28="ND")),IF(AND(T28&gt;3,T28&lt;11),T28-3,IF(T28&gt;=11,8,0)),IF(AND((ROW(T28)=MATCH(TRUE,($T$1:$T$43)&gt;0,0)),(D28="ND12,5")),IF(AND(T28&gt;2.5,T28&lt;10.5),T28-2.5,IF(T28&gt;=10.5,8,0)),IF(D28="ND12,5",8,IF(AND(T28&gt;14,T28&lt;22),(T28-V28),IF(T28&gt;=22,8,0))))))</f>
        <v>0</v>
      </c>
      <c r="X28" s="254">
        <f t="array" ref="X28">IF(T28=0,0,IF((AND((ROW(T28)=MATCH(TRUE,($T$1:$T$43)&gt;0,0)))),IF(W28&gt;=6,W28-6,0),IF(W28&gt;=2,2,W28)))</f>
        <v>0</v>
      </c>
      <c r="Y28" s="254">
        <f t="array" ref="Y28">IF(T27=0,0,(IF((AND((ROW(T27)=MATCH(TRUE,($T$1:$T$43)&gt;0,0)))),IF(W27&gt;=6,6,W27),IF(W27&gt;=2,W27-2,0))))</f>
        <v>0</v>
      </c>
      <c r="Z28" s="111" t="str">
        <f t="shared" si="6"/>
        <v/>
      </c>
      <c r="AA28" s="214">
        <f>IF(E27="ND",IF(ISERROR(MATCH(D28,Datenblatt!$L$2:$L$18,0)),3,2),IF(E27="ND12,5",IF(ISERROR(MATCH(D28,Datenblatt!$L$2:$L$18,0)),2.5,2),0))</f>
        <v>0</v>
      </c>
      <c r="AB28" s="214">
        <f>IF((IF(E28="ND",14-IF(D28="",0,VLOOKUP(D28,Datenblatt!$L$2:$M$30,2,FALSE)),IF(E28="ND12,5",2,0)))&lt;0,0,(IF(E28="ND",14-IF(D28="",0,VLOOKUP(D28,Datenblatt!$L$2:$M$30,2,FALSE)),IF(E28="ND12,5",2,0))))</f>
        <v>0</v>
      </c>
      <c r="AC28" s="214">
        <f t="shared" si="7"/>
        <v>0</v>
      </c>
      <c r="AD28" s="214">
        <f t="shared" si="8"/>
        <v>0</v>
      </c>
      <c r="AE28" s="214">
        <f t="shared" si="9"/>
        <v>0</v>
      </c>
      <c r="AF28" s="112">
        <f t="shared" si="10"/>
        <v>0</v>
      </c>
      <c r="AG28" s="112">
        <f t="shared" si="11"/>
        <v>0</v>
      </c>
      <c r="AH28" s="112">
        <f>IF(E28="",0,VLOOKUP(E28,Datenblatt!$E$2:$G$28,3,FALSE))</f>
        <v>0</v>
      </c>
    </row>
    <row r="29" spans="1:34" ht="13" customHeight="1">
      <c r="A29" s="89" t="str">
        <f>IF(ISERROR(VLOOKUP(C29,Datenblatt!$B$84:$B$97,1,FALSE)),"","Ft")</f>
        <v/>
      </c>
      <c r="B29" s="84">
        <f t="shared" si="0"/>
        <v>45551</v>
      </c>
      <c r="C29" s="86">
        <f t="shared" si="4"/>
        <v>45551</v>
      </c>
      <c r="D29" s="67"/>
      <c r="E29" s="67"/>
      <c r="F29" s="68"/>
      <c r="G29" s="69"/>
      <c r="H29" s="68"/>
      <c r="I29" s="68"/>
      <c r="J29" s="99"/>
      <c r="K29" s="21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20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10" t="str">
        <f>IF(D29="","",IF(E28="ND",VLOOKUP(D29,Datenblatt!$A$2:$C$31,3,FALSE)-1,IF(E28="ND12,5",VLOOKUP(D29,Datenblatt!$A$2:$C$31,3,FALSE)-0.5,VLOOKUP(D29,Datenblatt!$A$2:$C$31,3,FALSE))))</f>
        <v/>
      </c>
      <c r="N29" s="211" t="str">
        <f t="shared" si="2"/>
        <v/>
      </c>
      <c r="O29" s="211" t="str">
        <f t="shared" si="3"/>
        <v/>
      </c>
      <c r="P29" s="186">
        <f>IF(D29="",IF($P$47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$47="Freizeit",(-M29-J29+IF(ISNUMBER(N29),(N29*1.5),0)+IF(ISNUMBER(O29),(O29*2),0)+IF(OR(E29="ND",E29="ND12,5"),2,0)),(-M29-J29)),IF($P$47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103" t="str">
        <f>IF(D29="","",VLOOKUP(D29,Datenblatt!$A$2:$D$31,4,FALSE))</f>
        <v/>
      </c>
      <c r="R29" s="104" t="str">
        <f>IF(E29="","",VLOOKUP(E29,Datenblatt!$E$2:$G$28,2,FALSE))</f>
        <v/>
      </c>
      <c r="S29" s="105"/>
      <c r="T29" s="111">
        <f t="shared" si="5"/>
        <v>0</v>
      </c>
      <c r="U29" s="114">
        <f t="array" ref="U29">IF(T28=0,0,IF(AND((ROW(T28)=MATCH(TRUE,($T$1:$T$43)&gt;0,0)),(D28="ND")),IF(T28&lt;3,T28,3),IF(AND(ROW(T28)=MATCH(TRUE,($T$1:$T$43)&gt;0,0),D28="ND12,5"),IF(T28&lt;2.5,T28,2.5),IF(D28="ND12,5",2.5,(T28-V28-W28)))))</f>
        <v>0</v>
      </c>
      <c r="V29" s="112">
        <f t="array" ref="V29">IF(T29=0,0,IF(AND((ROW(T29)=MATCH(TRUE,($T$1:$T$43)&gt;0,0)),(D29="ND")),IF(AND(T29&gt;11,T29&lt;=25),T29-11,0),IF(AND(ROW(T29)=MATCH(TRUE,($T$1:$T$43)&gt;0,0),D29="ND12,5"),IF(AND(T29&gt;10.5,T29&lt;=12.5),T29-10.5,0),IF(D29="ND12,5",2,IF(T29&lt;14,T29,14)))))</f>
        <v>0</v>
      </c>
      <c r="W29" s="112">
        <f t="array" ref="W29">IF(T29=0,0,IF(AND((ROW(T29)=MATCH(TRUE,($T$1:$T$43)&gt;0,0)),(D29="ND")),IF(AND(T29&gt;3,T29&lt;11),T29-3,IF(T29&gt;=11,8,0)),IF(AND((ROW(T29)=MATCH(TRUE,($T$1:$T$43)&gt;0,0)),(D29="ND12,5")),IF(AND(T29&gt;2.5,T29&lt;10.5),T29-2.5,IF(T29&gt;=10.5,8,0)),IF(D29="ND12,5",8,IF(AND(T29&gt;14,T29&lt;22),(T29-V29),IF(T29&gt;=22,8,0))))))</f>
        <v>0</v>
      </c>
      <c r="X29" s="254">
        <f t="array" ref="X29">IF(T29=0,0,IF((AND((ROW(T29)=MATCH(TRUE,($T$1:$T$43)&gt;0,0)))),IF(W29&gt;=6,W29-6,0),IF(W29&gt;=2,2,W29)))</f>
        <v>0</v>
      </c>
      <c r="Y29" s="254">
        <f t="array" ref="Y29">IF(T28=0,0,(IF((AND((ROW(T28)=MATCH(TRUE,($T$1:$T$43)&gt;0,0)))),IF(W28&gt;=6,6,W28),IF(W28&gt;=2,W28-2,0))))</f>
        <v>0</v>
      </c>
      <c r="Z29" s="111" t="str">
        <f t="shared" si="6"/>
        <v/>
      </c>
      <c r="AA29" s="214">
        <f>IF(E28="ND",IF(ISERROR(MATCH(D29,Datenblatt!$L$2:$L$18,0)),3,2),IF(E28="ND12,5",IF(ISERROR(MATCH(D29,Datenblatt!$L$2:$L$18,0)),2.5,2),0))</f>
        <v>0</v>
      </c>
      <c r="AB29" s="214">
        <f>IF((IF(E29="ND",14-IF(D29="",0,VLOOKUP(D29,Datenblatt!$L$2:$M$30,2,FALSE)),IF(E29="ND12,5",2,0)))&lt;0,0,(IF(E29="ND",14-IF(D29="",0,VLOOKUP(D29,Datenblatt!$L$2:$M$30,2,FALSE)),IF(E29="ND12,5",2,0))))</f>
        <v>0</v>
      </c>
      <c r="AC29" s="214">
        <f t="shared" si="7"/>
        <v>0</v>
      </c>
      <c r="AD29" s="214">
        <f t="shared" si="8"/>
        <v>0</v>
      </c>
      <c r="AE29" s="214">
        <f t="shared" si="9"/>
        <v>0</v>
      </c>
      <c r="AF29" s="112">
        <f t="shared" si="10"/>
        <v>0</v>
      </c>
      <c r="AG29" s="112">
        <f t="shared" si="11"/>
        <v>0</v>
      </c>
      <c r="AH29" s="112">
        <f>IF(E29="",0,VLOOKUP(E29,Datenblatt!$E$2:$G$28,3,FALSE))</f>
        <v>0</v>
      </c>
    </row>
    <row r="30" spans="1:34" ht="13" customHeight="1">
      <c r="A30" s="89" t="str">
        <f>IF(ISERROR(VLOOKUP(C30,Datenblatt!$B$84:$B$97,1,FALSE)),"","Ft")</f>
        <v/>
      </c>
      <c r="B30" s="84">
        <f t="shared" si="0"/>
        <v>45552</v>
      </c>
      <c r="C30" s="86">
        <f t="shared" si="4"/>
        <v>45552</v>
      </c>
      <c r="D30" s="67"/>
      <c r="E30" s="67"/>
      <c r="F30" s="68"/>
      <c r="G30" s="69"/>
      <c r="H30" s="68"/>
      <c r="I30" s="68"/>
      <c r="J30" s="99"/>
      <c r="K30" s="21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20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10" t="str">
        <f>IF(D30="","",IF(E29="ND",VLOOKUP(D30,Datenblatt!$A$2:$C$31,3,FALSE)-1,IF(E29="ND12,5",VLOOKUP(D30,Datenblatt!$A$2:$C$31,3,FALSE)-0.5,VLOOKUP(D30,Datenblatt!$A$2:$C$31,3,FALSE))))</f>
        <v/>
      </c>
      <c r="N30" s="211" t="str">
        <f t="shared" si="2"/>
        <v/>
      </c>
      <c r="O30" s="211" t="str">
        <f t="shared" si="3"/>
        <v/>
      </c>
      <c r="P30" s="186">
        <f>IF(D30="",IF($P$47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$47="Freizeit",(-M30-J30+IF(ISNUMBER(N30),(N30*1.5),0)+IF(ISNUMBER(O30),(O30*2),0)+IF(OR(E30="ND",E30="ND12,5"),2,0)),(-M30-J30)),IF($P$47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103" t="str">
        <f>IF(D30="","",VLOOKUP(D30,Datenblatt!$A$2:$D$31,4,FALSE))</f>
        <v/>
      </c>
      <c r="R30" s="104" t="str">
        <f>IF(E30="","",VLOOKUP(E30,Datenblatt!$E$2:$G$28,2,FALSE))</f>
        <v/>
      </c>
      <c r="S30" s="105"/>
      <c r="T30" s="111">
        <f t="shared" si="5"/>
        <v>0</v>
      </c>
      <c r="U30" s="114">
        <f t="array" ref="U30">IF(T29=0,0,IF(AND((ROW(T29)=MATCH(TRUE,($T$1:$T$43)&gt;0,0)),(D29="ND")),IF(T29&lt;3,T29,3),IF(AND(ROW(T29)=MATCH(TRUE,($T$1:$T$43)&gt;0,0),D29="ND12,5"),IF(T29&lt;2.5,T29,2.5),IF(D29="ND12,5",2.5,(T29-V29-W29)))))</f>
        <v>0</v>
      </c>
      <c r="V30" s="112">
        <f t="array" ref="V30">IF(T30=0,0,IF(AND((ROW(T30)=MATCH(TRUE,($T$1:$T$43)&gt;0,0)),(D30="ND")),IF(AND(T30&gt;11,T30&lt;=25),T30-11,0),IF(AND(ROW(T30)=MATCH(TRUE,($T$1:$T$43)&gt;0,0),D30="ND12,5"),IF(AND(T30&gt;10.5,T30&lt;=12.5),T30-10.5,0),IF(D30="ND12,5",2,IF(T30&lt;14,T30,14)))))</f>
        <v>0</v>
      </c>
      <c r="W30" s="112">
        <f t="array" ref="W30">IF(T30=0,0,IF(AND((ROW(T30)=MATCH(TRUE,($T$1:$T$43)&gt;0,0)),(D30="ND")),IF(AND(T30&gt;3,T30&lt;11),T30-3,IF(T30&gt;=11,8,0)),IF(AND((ROW(T30)=MATCH(TRUE,($T$1:$T$43)&gt;0,0)),(D30="ND12,5")),IF(AND(T30&gt;2.5,T30&lt;10.5),T30-2.5,IF(T30&gt;=10.5,8,0)),IF(D30="ND12,5",8,IF(AND(T30&gt;14,T30&lt;22),(T30-V30),IF(T30&gt;=22,8,0))))))</f>
        <v>0</v>
      </c>
      <c r="X30" s="254">
        <f t="array" ref="X30">IF(T30=0,0,IF((AND((ROW(T30)=MATCH(TRUE,($T$1:$T$43)&gt;0,0)))),IF(W30&gt;=6,W30-6,0),IF(W30&gt;=2,2,W30)))</f>
        <v>0</v>
      </c>
      <c r="Y30" s="254">
        <f t="array" ref="Y30">IF(T29=0,0,(IF((AND((ROW(T29)=MATCH(TRUE,($T$1:$T$43)&gt;0,0)))),IF(W29&gt;=6,6,W29),IF(W29&gt;=2,W29-2,0))))</f>
        <v>0</v>
      </c>
      <c r="Z30" s="111" t="str">
        <f t="shared" si="6"/>
        <v/>
      </c>
      <c r="AA30" s="214">
        <f>IF(E29="ND",IF(ISERROR(MATCH(D30,Datenblatt!$L$2:$L$18,0)),3,2),IF(E29="ND12,5",IF(ISERROR(MATCH(D30,Datenblatt!$L$2:$L$18,0)),2.5,2),0))</f>
        <v>0</v>
      </c>
      <c r="AB30" s="214">
        <f>IF((IF(E30="ND",14-IF(D30="",0,VLOOKUP(D30,Datenblatt!$L$2:$M$30,2,FALSE)),IF(E30="ND12,5",2,0)))&lt;0,0,(IF(E30="ND",14-IF(D30="",0,VLOOKUP(D30,Datenblatt!$L$2:$M$30,2,FALSE)),IF(E30="ND12,5",2,0))))</f>
        <v>0</v>
      </c>
      <c r="AC30" s="214">
        <f t="shared" si="7"/>
        <v>0</v>
      </c>
      <c r="AD30" s="214">
        <f t="shared" si="8"/>
        <v>0</v>
      </c>
      <c r="AE30" s="214">
        <f t="shared" si="9"/>
        <v>0</v>
      </c>
      <c r="AF30" s="112">
        <f t="shared" si="10"/>
        <v>0</v>
      </c>
      <c r="AG30" s="112">
        <f t="shared" si="11"/>
        <v>0</v>
      </c>
      <c r="AH30" s="112">
        <f>IF(E30="",0,VLOOKUP(E30,Datenblatt!$E$2:$G$28,3,FALSE))</f>
        <v>0</v>
      </c>
    </row>
    <row r="31" spans="1:34" ht="13" customHeight="1">
      <c r="A31" s="89" t="str">
        <f>IF(ISERROR(VLOOKUP(C31,Datenblatt!$B$84:$B$97,1,FALSE)),"","Ft")</f>
        <v/>
      </c>
      <c r="B31" s="84">
        <f t="shared" si="0"/>
        <v>45553</v>
      </c>
      <c r="C31" s="86">
        <f t="shared" si="4"/>
        <v>45553</v>
      </c>
      <c r="D31" s="67"/>
      <c r="E31" s="67"/>
      <c r="F31" s="68"/>
      <c r="G31" s="69"/>
      <c r="H31" s="68"/>
      <c r="I31" s="68"/>
      <c r="J31" s="99"/>
      <c r="K31" s="21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20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10" t="str">
        <f>IF(D31="","",IF(E30="ND",VLOOKUP(D31,Datenblatt!$A$2:$C$31,3,FALSE)-1,IF(E30="ND12,5",VLOOKUP(D31,Datenblatt!$A$2:$C$31,3,FALSE)-0.5,VLOOKUP(D31,Datenblatt!$A$2:$C$31,3,FALSE))))</f>
        <v/>
      </c>
      <c r="N31" s="211" t="str">
        <f t="shared" si="2"/>
        <v/>
      </c>
      <c r="O31" s="211" t="str">
        <f t="shared" si="3"/>
        <v/>
      </c>
      <c r="P31" s="186">
        <f>IF(D31="",IF($P$47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$47="Freizeit",(-M31-J31+IF(ISNUMBER(N31),(N31*1.5),0)+IF(ISNUMBER(O31),(O31*2),0)+IF(OR(E31="ND",E31="ND12,5"),2,0)),(-M31-J31)),IF($P$47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103" t="str">
        <f>IF(D31="","",VLOOKUP(D31,Datenblatt!$A$2:$D$31,4,FALSE))</f>
        <v/>
      </c>
      <c r="R31" s="104" t="str">
        <f>IF(E31="","",VLOOKUP(E31,Datenblatt!$E$2:$G$28,2,FALSE))</f>
        <v/>
      </c>
      <c r="S31" s="105"/>
      <c r="T31" s="111">
        <f t="shared" si="5"/>
        <v>0</v>
      </c>
      <c r="U31" s="114">
        <f t="array" ref="U31">IF(T30=0,0,IF(AND((ROW(T30)=MATCH(TRUE,($T$1:$T$43)&gt;0,0)),(D30="ND")),IF(T30&lt;3,T30,3),IF(AND(ROW(T30)=MATCH(TRUE,($T$1:$T$43)&gt;0,0),D30="ND12,5"),IF(T30&lt;2.5,T30,2.5),IF(D30="ND12,5",2.5,(T30-V30-W30)))))</f>
        <v>0</v>
      </c>
      <c r="V31" s="112">
        <f t="array" ref="V31">IF(T31=0,0,IF(AND((ROW(T31)=MATCH(TRUE,($T$1:$T$43)&gt;0,0)),(D31="ND")),IF(AND(T31&gt;11,T31&lt;=25),T31-11,0),IF(AND(ROW(T31)=MATCH(TRUE,($T$1:$T$43)&gt;0,0),D31="ND12,5"),IF(AND(T31&gt;10.5,T31&lt;=12.5),T31-10.5,0),IF(D31="ND12,5",2,IF(T31&lt;14,T31,14)))))</f>
        <v>0</v>
      </c>
      <c r="W31" s="112">
        <f t="array" ref="W31">IF(T31=0,0,IF(AND((ROW(T31)=MATCH(TRUE,($T$1:$T$43)&gt;0,0)),(D31="ND")),IF(AND(T31&gt;3,T31&lt;11),T31-3,IF(T31&gt;=11,8,0)),IF(AND((ROW(T31)=MATCH(TRUE,($T$1:$T$43)&gt;0,0)),(D31="ND12,5")),IF(AND(T31&gt;2.5,T31&lt;10.5),T31-2.5,IF(T31&gt;=10.5,8,0)),IF(D31="ND12,5",8,IF(AND(T31&gt;14,T31&lt;22),(T31-V31),IF(T31&gt;=22,8,0))))))</f>
        <v>0</v>
      </c>
      <c r="X31" s="254">
        <f t="array" ref="X31">IF(T31=0,0,IF((AND((ROW(T31)=MATCH(TRUE,($T$1:$T$43)&gt;0,0)))),IF(W31&gt;=6,W31-6,0),IF(W31&gt;=2,2,W31)))</f>
        <v>0</v>
      </c>
      <c r="Y31" s="254">
        <f t="array" ref="Y31">IF(T30=0,0,(IF((AND((ROW(T30)=MATCH(TRUE,($T$1:$T$43)&gt;0,0)))),IF(W30&gt;=6,6,W30),IF(W30&gt;=2,W30-2,0))))</f>
        <v>0</v>
      </c>
      <c r="Z31" s="111" t="str">
        <f t="shared" si="6"/>
        <v/>
      </c>
      <c r="AA31" s="214">
        <f>IF(E30="ND",IF(ISERROR(MATCH(D31,Datenblatt!$L$2:$L$18,0)),3,2),IF(E30="ND12,5",IF(ISERROR(MATCH(D31,Datenblatt!$L$2:$L$18,0)),2.5,2),0))</f>
        <v>0</v>
      </c>
      <c r="AB31" s="214">
        <f>IF((IF(E31="ND",14-IF(D31="",0,VLOOKUP(D31,Datenblatt!$L$2:$M$30,2,FALSE)),IF(E31="ND12,5",2,0)))&lt;0,0,(IF(E31="ND",14-IF(D31="",0,VLOOKUP(D31,Datenblatt!$L$2:$M$30,2,FALSE)),IF(E31="ND12,5",2,0))))</f>
        <v>0</v>
      </c>
      <c r="AC31" s="214">
        <f t="shared" si="7"/>
        <v>0</v>
      </c>
      <c r="AD31" s="214">
        <f t="shared" si="8"/>
        <v>0</v>
      </c>
      <c r="AE31" s="214">
        <f t="shared" si="9"/>
        <v>0</v>
      </c>
      <c r="AF31" s="112">
        <f t="shared" si="10"/>
        <v>0</v>
      </c>
      <c r="AG31" s="112">
        <f t="shared" si="11"/>
        <v>0</v>
      </c>
      <c r="AH31" s="112">
        <f>IF(E31="",0,VLOOKUP(E31,Datenblatt!$E$2:$G$28,3,FALSE))</f>
        <v>0</v>
      </c>
    </row>
    <row r="32" spans="1:34" ht="13" customHeight="1">
      <c r="A32" s="89" t="str">
        <f>IF(ISERROR(VLOOKUP(C32,Datenblatt!$B$84:$B$97,1,FALSE)),"","Ft")</f>
        <v/>
      </c>
      <c r="B32" s="84">
        <f t="shared" si="0"/>
        <v>45554</v>
      </c>
      <c r="C32" s="86">
        <f t="shared" si="4"/>
        <v>45554</v>
      </c>
      <c r="D32" s="67"/>
      <c r="E32" s="67"/>
      <c r="F32" s="68"/>
      <c r="G32" s="69"/>
      <c r="H32" s="68"/>
      <c r="I32" s="68"/>
      <c r="J32" s="99"/>
      <c r="K32" s="21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20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10" t="str">
        <f>IF(D32="","",IF(E31="ND",VLOOKUP(D32,Datenblatt!$A$2:$C$31,3,FALSE)-1,IF(E31="ND12,5",VLOOKUP(D32,Datenblatt!$A$2:$C$31,3,FALSE)-0.5,VLOOKUP(D32,Datenblatt!$A$2:$C$31,3,FALSE))))</f>
        <v/>
      </c>
      <c r="N32" s="211" t="str">
        <f t="shared" si="2"/>
        <v/>
      </c>
      <c r="O32" s="211" t="str">
        <f t="shared" si="3"/>
        <v/>
      </c>
      <c r="P32" s="186">
        <f>IF(D32="",IF($P$47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$47="Freizeit",(-M32-J32+IF(ISNUMBER(N32),(N32*1.5),0)+IF(ISNUMBER(O32),(O32*2),0)+IF(OR(E32="ND",E32="ND12,5"),2,0)),(-M32-J32)),IF($P$47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103" t="str">
        <f>IF(D32="","",VLOOKUP(D32,Datenblatt!$A$2:$D$31,4,FALSE))</f>
        <v/>
      </c>
      <c r="R32" s="104" t="str">
        <f>IF(E32="","",VLOOKUP(E32,Datenblatt!$E$2:$G$28,2,FALSE))</f>
        <v/>
      </c>
      <c r="S32" s="105"/>
      <c r="T32" s="111">
        <f t="shared" si="5"/>
        <v>0</v>
      </c>
      <c r="U32" s="114">
        <f t="array" ref="U32">IF(T31=0,0,IF(AND((ROW(T31)=MATCH(TRUE,($T$1:$T$43)&gt;0,0)),(D31="ND")),IF(T31&lt;3,T31,3),IF(AND(ROW(T31)=MATCH(TRUE,($T$1:$T$43)&gt;0,0),D31="ND12,5"),IF(T31&lt;2.5,T31,2.5),IF(D31="ND12,5",2.5,(T31-V31-W31)))))</f>
        <v>0</v>
      </c>
      <c r="V32" s="112">
        <f t="array" ref="V32">IF(T32=0,0,IF(AND((ROW(T32)=MATCH(TRUE,($T$1:$T$43)&gt;0,0)),(D32="ND")),IF(AND(T32&gt;11,T32&lt;=25),T32-11,0),IF(AND(ROW(T32)=MATCH(TRUE,($T$1:$T$43)&gt;0,0),D32="ND12,5"),IF(AND(T32&gt;10.5,T32&lt;=12.5),T32-10.5,0),IF(D32="ND12,5",2,IF(T32&lt;14,T32,14)))))</f>
        <v>0</v>
      </c>
      <c r="W32" s="112">
        <f t="array" ref="W32">IF(T32=0,0,IF(AND((ROW(T32)=MATCH(TRUE,($T$1:$T$43)&gt;0,0)),(D32="ND")),IF(AND(T32&gt;3,T32&lt;11),T32-3,IF(T32&gt;=11,8,0)),IF(AND((ROW(T32)=MATCH(TRUE,($T$1:$T$43)&gt;0,0)),(D32="ND12,5")),IF(AND(T32&gt;2.5,T32&lt;10.5),T32-2.5,IF(T32&gt;=10.5,8,0)),IF(D32="ND12,5",8,IF(AND(T32&gt;14,T32&lt;22),(T32-V32),IF(T32&gt;=22,8,0))))))</f>
        <v>0</v>
      </c>
      <c r="X32" s="254">
        <f t="array" ref="X32">IF(T32=0,0,IF((AND((ROW(T32)=MATCH(TRUE,($T$1:$T$43)&gt;0,0)))),IF(W32&gt;=6,W32-6,0),IF(W32&gt;=2,2,W32)))</f>
        <v>0</v>
      </c>
      <c r="Y32" s="254">
        <f t="array" ref="Y32">IF(T31=0,0,(IF((AND((ROW(T31)=MATCH(TRUE,($T$1:$T$43)&gt;0,0)))),IF(W31&gt;=6,6,W31),IF(W31&gt;=2,W31-2,0))))</f>
        <v>0</v>
      </c>
      <c r="Z32" s="111" t="str">
        <f t="shared" si="6"/>
        <v/>
      </c>
      <c r="AA32" s="214">
        <f>IF(E31="ND",IF(ISERROR(MATCH(D32,Datenblatt!$L$2:$L$18,0)),3,2),IF(E31="ND12,5",IF(ISERROR(MATCH(D32,Datenblatt!$L$2:$L$18,0)),2.5,2),0))</f>
        <v>0</v>
      </c>
      <c r="AB32" s="214">
        <f>IF((IF(E32="ND",14-IF(D32="",0,VLOOKUP(D32,Datenblatt!$L$2:$M$30,2,FALSE)),IF(E32="ND12,5",2,0)))&lt;0,0,(IF(E32="ND",14-IF(D32="",0,VLOOKUP(D32,Datenblatt!$L$2:$M$30,2,FALSE)),IF(E32="ND12,5",2,0))))</f>
        <v>0</v>
      </c>
      <c r="AC32" s="214">
        <f t="shared" si="7"/>
        <v>0</v>
      </c>
      <c r="AD32" s="214">
        <f t="shared" si="8"/>
        <v>0</v>
      </c>
      <c r="AE32" s="214">
        <f t="shared" si="9"/>
        <v>0</v>
      </c>
      <c r="AF32" s="112">
        <f t="shared" si="10"/>
        <v>0</v>
      </c>
      <c r="AG32" s="112">
        <f t="shared" si="11"/>
        <v>0</v>
      </c>
      <c r="AH32" s="112">
        <f>IF(E32="",0,VLOOKUP(E32,Datenblatt!$E$2:$G$28,3,FALSE))</f>
        <v>0</v>
      </c>
    </row>
    <row r="33" spans="1:34" ht="13" customHeight="1">
      <c r="A33" s="89" t="str">
        <f>IF(ISERROR(VLOOKUP(C33,Datenblatt!$B$84:$B$97,1,FALSE)),"","Ft")</f>
        <v/>
      </c>
      <c r="B33" s="84">
        <f t="shared" si="0"/>
        <v>45555</v>
      </c>
      <c r="C33" s="86">
        <f t="shared" si="4"/>
        <v>45555</v>
      </c>
      <c r="D33" s="67"/>
      <c r="E33" s="67"/>
      <c r="F33" s="68"/>
      <c r="G33" s="69"/>
      <c r="H33" s="68"/>
      <c r="I33" s="68"/>
      <c r="J33" s="99"/>
      <c r="K33" s="21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20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10" t="str">
        <f>IF(D33="","",IF(E32="ND",VLOOKUP(D33,Datenblatt!$A$2:$C$31,3,FALSE)-1,IF(E32="ND12,5",VLOOKUP(D33,Datenblatt!$A$2:$C$31,3,FALSE)-0.5,VLOOKUP(D33,Datenblatt!$A$2:$C$31,3,FALSE))))</f>
        <v/>
      </c>
      <c r="N33" s="211" t="str">
        <f t="shared" si="2"/>
        <v/>
      </c>
      <c r="O33" s="211" t="str">
        <f t="shared" si="3"/>
        <v/>
      </c>
      <c r="P33" s="186">
        <f>IF(D33="",IF($P$47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$47="Freizeit",(-M33-J33+IF(ISNUMBER(N33),(N33*1.5),0)+IF(ISNUMBER(O33),(O33*2),0)+IF(OR(E33="ND",E33="ND12,5"),2,0)),(-M33-J33)),IF($P$47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103" t="str">
        <f>IF(D33="","",VLOOKUP(D33,Datenblatt!$A$2:$D$31,4,FALSE))</f>
        <v/>
      </c>
      <c r="R33" s="104" t="str">
        <f>IF(E33="","",VLOOKUP(E33,Datenblatt!$E$2:$G$28,2,FALSE))</f>
        <v/>
      </c>
      <c r="S33" s="105"/>
      <c r="T33" s="111">
        <f t="shared" si="5"/>
        <v>0</v>
      </c>
      <c r="U33" s="114">
        <f t="array" ref="U33">IF(T32=0,0,IF(AND((ROW(T32)=MATCH(TRUE,($T$1:$T$43)&gt;0,0)),(D32="ND")),IF(T32&lt;3,T32,3),IF(AND(ROW(T32)=MATCH(TRUE,($T$1:$T$43)&gt;0,0),D32="ND12,5"),IF(T32&lt;2.5,T32,2.5),IF(D32="ND12,5",2.5,(T32-V32-W32)))))</f>
        <v>0</v>
      </c>
      <c r="V33" s="112">
        <f t="array" ref="V33">IF(T33=0,0,IF(AND((ROW(T33)=MATCH(TRUE,($T$1:$T$43)&gt;0,0)),(D33="ND")),IF(AND(T33&gt;11,T33&lt;=25),T33-11,0),IF(AND(ROW(T33)=MATCH(TRUE,($T$1:$T$43)&gt;0,0),D33="ND12,5"),IF(AND(T33&gt;10.5,T33&lt;=12.5),T33-10.5,0),IF(D33="ND12,5",2,IF(T33&lt;14,T33,14)))))</f>
        <v>0</v>
      </c>
      <c r="W33" s="112">
        <f t="array" ref="W33">IF(T33=0,0,IF(AND((ROW(T33)=MATCH(TRUE,($T$1:$T$43)&gt;0,0)),(D33="ND")),IF(AND(T33&gt;3,T33&lt;11),T33-3,IF(T33&gt;=11,8,0)),IF(AND((ROW(T33)=MATCH(TRUE,($T$1:$T$43)&gt;0,0)),(D33="ND12,5")),IF(AND(T33&gt;2.5,T33&lt;10.5),T33-2.5,IF(T33&gt;=10.5,8,0)),IF(D33="ND12,5",8,IF(AND(T33&gt;14,T33&lt;22),(T33-V33),IF(T33&gt;=22,8,0))))))</f>
        <v>0</v>
      </c>
      <c r="X33" s="254">
        <f t="array" ref="X33">IF(T33=0,0,IF((AND((ROW(T33)=MATCH(TRUE,($T$1:$T$43)&gt;0,0)))),IF(W33&gt;=6,W33-6,0),IF(W33&gt;=2,2,W33)))</f>
        <v>0</v>
      </c>
      <c r="Y33" s="254">
        <f t="array" ref="Y33">IF(T32=0,0,(IF((AND((ROW(T32)=MATCH(TRUE,($T$1:$T$43)&gt;0,0)))),IF(W32&gt;=6,6,W32),IF(W32&gt;=2,W32-2,0))))</f>
        <v>0</v>
      </c>
      <c r="Z33" s="111" t="str">
        <f t="shared" si="6"/>
        <v/>
      </c>
      <c r="AA33" s="214">
        <f>IF(E32="ND",IF(ISERROR(MATCH(D33,Datenblatt!$L$2:$L$18,0)),3,2),IF(E32="ND12,5",IF(ISERROR(MATCH(D33,Datenblatt!$L$2:$L$18,0)),2.5,2),0))</f>
        <v>0</v>
      </c>
      <c r="AB33" s="214">
        <f>IF((IF(E33="ND",14-IF(D33="",0,VLOOKUP(D33,Datenblatt!$L$2:$M$30,2,FALSE)),IF(E33="ND12,5",2,0)))&lt;0,0,(IF(E33="ND",14-IF(D33="",0,VLOOKUP(D33,Datenblatt!$L$2:$M$30,2,FALSE)),IF(E33="ND12,5",2,0))))</f>
        <v>0</v>
      </c>
      <c r="AC33" s="214">
        <f t="shared" si="7"/>
        <v>0</v>
      </c>
      <c r="AD33" s="214">
        <f t="shared" si="8"/>
        <v>0</v>
      </c>
      <c r="AE33" s="214">
        <f t="shared" si="9"/>
        <v>0</v>
      </c>
      <c r="AF33" s="112">
        <f t="shared" si="10"/>
        <v>0</v>
      </c>
      <c r="AG33" s="112">
        <f t="shared" si="11"/>
        <v>0</v>
      </c>
      <c r="AH33" s="112">
        <f>IF(E33="",0,VLOOKUP(E33,Datenblatt!$E$2:$G$28,3,FALSE))</f>
        <v>0</v>
      </c>
    </row>
    <row r="34" spans="1:34" ht="13" customHeight="1">
      <c r="A34" s="89" t="str">
        <f>IF(ISERROR(VLOOKUP(C34,Datenblatt!$B$84:$B$97,1,FALSE)),"","Ft")</f>
        <v/>
      </c>
      <c r="B34" s="84">
        <f t="shared" si="0"/>
        <v>45556</v>
      </c>
      <c r="C34" s="86">
        <f t="shared" si="4"/>
        <v>45556</v>
      </c>
      <c r="D34" s="67"/>
      <c r="E34" s="67"/>
      <c r="F34" s="68"/>
      <c r="G34" s="69"/>
      <c r="H34" s="68"/>
      <c r="I34" s="68"/>
      <c r="J34" s="99"/>
      <c r="K34" s="21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20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10" t="str">
        <f>IF(D34="","",IF(E33="ND",VLOOKUP(D34,Datenblatt!$A$2:$C$31,3,FALSE)-1,IF(E33="ND12,5",VLOOKUP(D34,Datenblatt!$A$2:$C$31,3,FALSE)-0.5,VLOOKUP(D34,Datenblatt!$A$2:$C$31,3,FALSE))))</f>
        <v/>
      </c>
      <c r="N34" s="211" t="str">
        <f t="shared" si="2"/>
        <v/>
      </c>
      <c r="O34" s="211" t="str">
        <f t="shared" si="3"/>
        <v/>
      </c>
      <c r="P34" s="186">
        <f>IF(D34="",IF($P$47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$47="Freizeit",(-M34-J34+IF(ISNUMBER(N34),(N34*1.5),0)+IF(ISNUMBER(O34),(O34*2),0)+IF(OR(E34="ND",E34="ND12,5"),2,0)),(-M34-J34)),IF($P$47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103" t="str">
        <f>IF(D34="","",VLOOKUP(D34,Datenblatt!$A$2:$D$31,4,FALSE))</f>
        <v/>
      </c>
      <c r="R34" s="104" t="str">
        <f>IF(E34="","",VLOOKUP(E34,Datenblatt!$E$2:$G$28,2,FALSE))</f>
        <v/>
      </c>
      <c r="S34" s="105"/>
      <c r="T34" s="111">
        <f t="shared" si="5"/>
        <v>0</v>
      </c>
      <c r="U34" s="114">
        <f t="array" ref="U34">IF(T33=0,0,IF(AND((ROW(T33)=MATCH(TRUE,($T$1:$T$43)&gt;0,0)),(D33="ND")),IF(T33&lt;3,T33,3),IF(AND(ROW(T33)=MATCH(TRUE,($T$1:$T$43)&gt;0,0),D33="ND12,5"),IF(T33&lt;2.5,T33,2.5),IF(D33="ND12,5",2.5,(T33-V33-W33)))))</f>
        <v>0</v>
      </c>
      <c r="V34" s="112">
        <f t="array" ref="V34">IF(T34=0,0,IF(AND((ROW(T34)=MATCH(TRUE,($T$1:$T$43)&gt;0,0)),(D34="ND")),IF(AND(T34&gt;11,T34&lt;=25),T34-11,0),IF(AND(ROW(T34)=MATCH(TRUE,($T$1:$T$43)&gt;0,0),D34="ND12,5"),IF(AND(T34&gt;10.5,T34&lt;=12.5),T34-10.5,0),IF(D34="ND12,5",2,IF(T34&lt;14,T34,14)))))</f>
        <v>0</v>
      </c>
      <c r="W34" s="112">
        <f t="array" ref="W34">IF(T34=0,0,IF(AND((ROW(T34)=MATCH(TRUE,($T$1:$T$43)&gt;0,0)),(D34="ND")),IF(AND(T34&gt;3,T34&lt;11),T34-3,IF(T34&gt;=11,8,0)),IF(AND((ROW(T34)=MATCH(TRUE,($T$1:$T$43)&gt;0,0)),(D34="ND12,5")),IF(AND(T34&gt;2.5,T34&lt;10.5),T34-2.5,IF(T34&gt;=10.5,8,0)),IF(D34="ND12,5",8,IF(AND(T34&gt;14,T34&lt;22),(T34-V34),IF(T34&gt;=22,8,0))))))</f>
        <v>0</v>
      </c>
      <c r="X34" s="254">
        <f t="array" ref="X34">IF(T34=0,0,IF((AND((ROW(T34)=MATCH(TRUE,($T$1:$T$43)&gt;0,0)))),IF(W34&gt;=6,W34-6,0),IF(W34&gt;=2,2,W34)))</f>
        <v>0</v>
      </c>
      <c r="Y34" s="254">
        <f t="array" ref="Y34">IF(T33=0,0,(IF((AND((ROW(T33)=MATCH(TRUE,($T$1:$T$43)&gt;0,0)))),IF(W33&gt;=6,6,W33),IF(W33&gt;=2,W33-2,0))))</f>
        <v>0</v>
      </c>
      <c r="Z34" s="111" t="str">
        <f t="shared" si="6"/>
        <v/>
      </c>
      <c r="AA34" s="214">
        <f>IF(E33="ND",IF(ISERROR(MATCH(D34,Datenblatt!$L$2:$L$18,0)),3,2),IF(E33="ND12,5",IF(ISERROR(MATCH(D34,Datenblatt!$L$2:$L$18,0)),2.5,2),0))</f>
        <v>0</v>
      </c>
      <c r="AB34" s="214">
        <f>IF((IF(E34="ND",14-IF(D34="",0,VLOOKUP(D34,Datenblatt!$L$2:$M$30,2,FALSE)),IF(E34="ND12,5",2,0)))&lt;0,0,(IF(E34="ND",14-IF(D34="",0,VLOOKUP(D34,Datenblatt!$L$2:$M$30,2,FALSE)),IF(E34="ND12,5",2,0))))</f>
        <v>0</v>
      </c>
      <c r="AC34" s="214">
        <f t="shared" si="7"/>
        <v>0</v>
      </c>
      <c r="AD34" s="214">
        <f t="shared" si="8"/>
        <v>0</v>
      </c>
      <c r="AE34" s="214">
        <f t="shared" si="9"/>
        <v>0</v>
      </c>
      <c r="AF34" s="112">
        <f t="shared" si="10"/>
        <v>0</v>
      </c>
      <c r="AG34" s="112">
        <f t="shared" si="11"/>
        <v>0</v>
      </c>
      <c r="AH34" s="112">
        <f>IF(E34="",0,VLOOKUP(E34,Datenblatt!$E$2:$G$28,3,FALSE))</f>
        <v>0</v>
      </c>
    </row>
    <row r="35" spans="1:34" ht="13" customHeight="1">
      <c r="A35" s="89" t="str">
        <f>IF(ISERROR(VLOOKUP(C35,Datenblatt!$B$84:$B$97,1,FALSE)),"","Ft")</f>
        <v/>
      </c>
      <c r="B35" s="84">
        <f t="shared" si="0"/>
        <v>45557</v>
      </c>
      <c r="C35" s="86">
        <f t="shared" si="4"/>
        <v>45557</v>
      </c>
      <c r="D35" s="67"/>
      <c r="E35" s="67"/>
      <c r="F35" s="68"/>
      <c r="G35" s="69"/>
      <c r="H35" s="68"/>
      <c r="I35" s="68"/>
      <c r="J35" s="99"/>
      <c r="K35" s="21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20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10" t="str">
        <f>IF(D35="","",IF(E34="ND",VLOOKUP(D35,Datenblatt!$A$2:$C$31,3,FALSE)-1,IF(E34="ND12,5",VLOOKUP(D35,Datenblatt!$A$2:$C$31,3,FALSE)-0.5,VLOOKUP(D35,Datenblatt!$A$2:$C$31,3,FALSE))))</f>
        <v/>
      </c>
      <c r="N35" s="211" t="str">
        <f t="shared" si="2"/>
        <v/>
      </c>
      <c r="O35" s="211">
        <f t="shared" si="3"/>
        <v>0</v>
      </c>
      <c r="P35" s="186">
        <f>IF(D35="",IF($P$47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$47="Freizeit",(-M35-J35+IF(ISNUMBER(N35),(N35*1.5),0)+IF(ISNUMBER(O35),(O35*2),0)+IF(OR(E35="ND",E35="ND12,5"),2,0)),(-M35-J35)),IF($P$47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103" t="str">
        <f>IF(D35="","",VLOOKUP(D35,Datenblatt!$A$2:$D$31,4,FALSE))</f>
        <v/>
      </c>
      <c r="R35" s="104" t="str">
        <f>IF(E35="","",VLOOKUP(E35,Datenblatt!$E$2:$G$28,2,FALSE))</f>
        <v/>
      </c>
      <c r="S35" s="105"/>
      <c r="T35" s="111">
        <f t="shared" si="5"/>
        <v>0</v>
      </c>
      <c r="U35" s="114">
        <f t="array" ref="U35">IF(T34=0,0,IF(AND((ROW(T34)=MATCH(TRUE,($T$1:$T$43)&gt;0,0)),(D34="ND")),IF(T34&lt;3,T34,3),IF(AND(ROW(T34)=MATCH(TRUE,($T$1:$T$43)&gt;0,0),D34="ND12,5"),IF(T34&lt;2.5,T34,2.5),IF(D34="ND12,5",2.5,(T34-V34-W34)))))</f>
        <v>0</v>
      </c>
      <c r="V35" s="112">
        <f t="array" ref="V35">IF(T35=0,0,IF(AND((ROW(T35)=MATCH(TRUE,($T$1:$T$43)&gt;0,0)),(D35="ND")),IF(AND(T35&gt;11,T35&lt;=25),T35-11,0),IF(AND(ROW(T35)=MATCH(TRUE,($T$1:$T$43)&gt;0,0),D35="ND12,5"),IF(AND(T35&gt;10.5,T35&lt;=12.5),T35-10.5,0),IF(D35="ND12,5",2,IF(T35&lt;14,T35,14)))))</f>
        <v>0</v>
      </c>
      <c r="W35" s="112">
        <f t="array" ref="W35">IF(T35=0,0,IF(AND((ROW(T35)=MATCH(TRUE,($T$1:$T$43)&gt;0,0)),(D35="ND")),IF(AND(T35&gt;3,T35&lt;11),T35-3,IF(T35&gt;=11,8,0)),IF(AND((ROW(T35)=MATCH(TRUE,($T$1:$T$43)&gt;0,0)),(D35="ND12,5")),IF(AND(T35&gt;2.5,T35&lt;10.5),T35-2.5,IF(T35&gt;=10.5,8,0)),IF(D35="ND12,5",8,IF(AND(T35&gt;14,T35&lt;22),(T35-V35),IF(T35&gt;=22,8,0))))))</f>
        <v>0</v>
      </c>
      <c r="X35" s="254">
        <f t="array" ref="X35">IF(T35=0,0,IF((AND((ROW(T35)=MATCH(TRUE,($T$1:$T$43)&gt;0,0)))),IF(W35&gt;=6,W35-6,0),IF(W35&gt;=2,2,W35)))</f>
        <v>0</v>
      </c>
      <c r="Y35" s="254">
        <f t="array" ref="Y35">IF(T34=0,0,(IF((AND((ROW(T34)=MATCH(TRUE,($T$1:$T$43)&gt;0,0)))),IF(W34&gt;=6,6,W34),IF(W34&gt;=2,W34-2,0))))</f>
        <v>0</v>
      </c>
      <c r="Z35" s="111" t="str">
        <f t="shared" si="6"/>
        <v/>
      </c>
      <c r="AA35" s="214">
        <f>IF(E34="ND",IF(ISERROR(MATCH(D35,Datenblatt!$L$2:$L$18,0)),3,2),IF(E34="ND12,5",IF(ISERROR(MATCH(D35,Datenblatt!$L$2:$L$18,0)),2.5,2),0))</f>
        <v>0</v>
      </c>
      <c r="AB35" s="214">
        <f>IF((IF(E35="ND",14-IF(D35="",0,VLOOKUP(D35,Datenblatt!$L$2:$M$30,2,FALSE)),IF(E35="ND12,5",2,0)))&lt;0,0,(IF(E35="ND",14-IF(D35="",0,VLOOKUP(D35,Datenblatt!$L$2:$M$30,2,FALSE)),IF(E35="ND12,5",2,0))))</f>
        <v>0</v>
      </c>
      <c r="AC35" s="214">
        <f t="shared" si="7"/>
        <v>0</v>
      </c>
      <c r="AD35" s="214">
        <f t="shared" si="8"/>
        <v>0</v>
      </c>
      <c r="AE35" s="214">
        <f t="shared" si="9"/>
        <v>0</v>
      </c>
      <c r="AF35" s="112">
        <f t="shared" si="10"/>
        <v>0</v>
      </c>
      <c r="AG35" s="112">
        <f t="shared" si="11"/>
        <v>0</v>
      </c>
      <c r="AH35" s="112">
        <f>IF(E35="",0,VLOOKUP(E35,Datenblatt!$E$2:$G$28,3,FALSE))</f>
        <v>0</v>
      </c>
    </row>
    <row r="36" spans="1:34" ht="13" customHeight="1">
      <c r="A36" s="89" t="str">
        <f>IF(ISERROR(VLOOKUP(C36,Datenblatt!$B$84:$B$97,1,FALSE)),"","Ft")</f>
        <v/>
      </c>
      <c r="B36" s="84">
        <f t="shared" si="0"/>
        <v>45558</v>
      </c>
      <c r="C36" s="86">
        <f t="shared" si="4"/>
        <v>45558</v>
      </c>
      <c r="D36" s="67"/>
      <c r="E36" s="67"/>
      <c r="F36" s="68"/>
      <c r="G36" s="69"/>
      <c r="H36" s="68"/>
      <c r="I36" s="68"/>
      <c r="J36" s="99"/>
      <c r="K36" s="21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20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10" t="str">
        <f>IF(D36="","",IF(E35="ND",VLOOKUP(D36,Datenblatt!$A$2:$C$31,3,FALSE)-1,IF(E35="ND12,5",VLOOKUP(D36,Datenblatt!$A$2:$C$31,3,FALSE)-0.5,VLOOKUP(D36,Datenblatt!$A$2:$C$31,3,FALSE))))</f>
        <v/>
      </c>
      <c r="N36" s="211" t="str">
        <f t="shared" si="2"/>
        <v/>
      </c>
      <c r="O36" s="211" t="str">
        <f t="shared" si="3"/>
        <v/>
      </c>
      <c r="P36" s="186">
        <f>IF(D36="",IF($P$47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$47="Freizeit",(-M36-J36+IF(ISNUMBER(N36),(N36*1.5),0)+IF(ISNUMBER(O36),(O36*2),0)+IF(OR(E36="ND",E36="ND12,5"),2,0)),(-M36-J36)),IF($P$47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103" t="str">
        <f>IF(D36="","",VLOOKUP(D36,Datenblatt!$A$2:$D$31,4,FALSE))</f>
        <v/>
      </c>
      <c r="R36" s="104" t="str">
        <f>IF(E36="","",VLOOKUP(E36,Datenblatt!$E$2:$G$28,2,FALSE))</f>
        <v/>
      </c>
      <c r="S36" s="105"/>
      <c r="T36" s="111">
        <f t="shared" si="5"/>
        <v>0</v>
      </c>
      <c r="U36" s="114">
        <f t="array" ref="U36">IF(T35=0,0,IF(AND((ROW(T35)=MATCH(TRUE,($T$1:$T$43)&gt;0,0)),(D35="ND")),IF(T35&lt;3,T35,3),IF(AND(ROW(T35)=MATCH(TRUE,($T$1:$T$43)&gt;0,0),D35="ND12,5"),IF(T35&lt;2.5,T35,2.5),IF(D35="ND12,5",2.5,(T35-V35-W35)))))</f>
        <v>0</v>
      </c>
      <c r="V36" s="112">
        <f t="array" ref="V36">IF(T36=0,0,IF(AND((ROW(T36)=MATCH(TRUE,($T$1:$T$43)&gt;0,0)),(D36="ND")),IF(AND(T36&gt;11,T36&lt;=25),T36-11,0),IF(AND(ROW(T36)=MATCH(TRUE,($T$1:$T$43)&gt;0,0),D36="ND12,5"),IF(AND(T36&gt;10.5,T36&lt;=12.5),T36-10.5,0),IF(D36="ND12,5",2,IF(T36&lt;14,T36,14)))))</f>
        <v>0</v>
      </c>
      <c r="W36" s="112">
        <f t="array" ref="W36">IF(T36=0,0,IF(AND((ROW(T36)=MATCH(TRUE,($T$1:$T$43)&gt;0,0)),(D36="ND")),IF(AND(T36&gt;3,T36&lt;11),T36-3,IF(T36&gt;=11,8,0)),IF(AND((ROW(T36)=MATCH(TRUE,($T$1:$T$43)&gt;0,0)),(D36="ND12,5")),IF(AND(T36&gt;2.5,T36&lt;10.5),T36-2.5,IF(T36&gt;=10.5,8,0)),IF(D36="ND12,5",8,IF(AND(T36&gt;14,T36&lt;22),(T36-V36),IF(T36&gt;=22,8,0))))))</f>
        <v>0</v>
      </c>
      <c r="X36" s="254">
        <f t="array" ref="X36">IF(T36=0,0,IF((AND((ROW(T36)=MATCH(TRUE,($T$1:$T$43)&gt;0,0)))),IF(W36&gt;=6,W36-6,0),IF(W36&gt;=2,2,W36)))</f>
        <v>0</v>
      </c>
      <c r="Y36" s="254">
        <f t="array" ref="Y36">IF(T35=0,0,(IF((AND((ROW(T35)=MATCH(TRUE,($T$1:$T$43)&gt;0,0)))),IF(W35&gt;=6,6,W35),IF(W35&gt;=2,W35-2,0))))</f>
        <v>0</v>
      </c>
      <c r="Z36" s="111" t="str">
        <f t="shared" si="6"/>
        <v/>
      </c>
      <c r="AA36" s="214">
        <f>IF(E35="ND",IF(ISERROR(MATCH(D36,Datenblatt!$L$2:$L$18,0)),3,2),IF(E35="ND12,5",IF(ISERROR(MATCH(D36,Datenblatt!$L$2:$L$18,0)),2.5,2),0))</f>
        <v>0</v>
      </c>
      <c r="AB36" s="214">
        <f>IF((IF(E36="ND",14-IF(D36="",0,VLOOKUP(D36,Datenblatt!$L$2:$M$30,2,FALSE)),IF(E36="ND12,5",2,0)))&lt;0,0,(IF(E36="ND",14-IF(D36="",0,VLOOKUP(D36,Datenblatt!$L$2:$M$30,2,FALSE)),IF(E36="ND12,5",2,0))))</f>
        <v>0</v>
      </c>
      <c r="AC36" s="214">
        <f t="shared" si="7"/>
        <v>0</v>
      </c>
      <c r="AD36" s="214">
        <f t="shared" si="8"/>
        <v>0</v>
      </c>
      <c r="AE36" s="214">
        <f t="shared" si="9"/>
        <v>0</v>
      </c>
      <c r="AF36" s="112">
        <f t="shared" si="10"/>
        <v>0</v>
      </c>
      <c r="AG36" s="112">
        <f t="shared" si="11"/>
        <v>0</v>
      </c>
      <c r="AH36" s="112">
        <f>IF(E36="",0,VLOOKUP(E36,Datenblatt!$E$2:$G$28,3,FALSE))</f>
        <v>0</v>
      </c>
    </row>
    <row r="37" spans="1:34" ht="13" customHeight="1">
      <c r="A37" s="89" t="str">
        <f>IF(ISERROR(VLOOKUP(C37,Datenblatt!$B$84:$B$97,1,FALSE)),"","Ft")</f>
        <v/>
      </c>
      <c r="B37" s="84">
        <f t="shared" si="0"/>
        <v>45559</v>
      </c>
      <c r="C37" s="86">
        <f t="shared" si="4"/>
        <v>45559</v>
      </c>
      <c r="D37" s="67"/>
      <c r="E37" s="67"/>
      <c r="F37" s="68"/>
      <c r="G37" s="69"/>
      <c r="H37" s="68"/>
      <c r="I37" s="68"/>
      <c r="J37" s="99"/>
      <c r="K37" s="21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20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10" t="str">
        <f>IF(D37="","",IF(E36="ND",VLOOKUP(D37,Datenblatt!$A$2:$C$31,3,FALSE)-1,IF(E36="ND12,5",VLOOKUP(D37,Datenblatt!$A$2:$C$31,3,FALSE)-0.5,VLOOKUP(D37,Datenblatt!$A$2:$C$31,3,FALSE))))</f>
        <v/>
      </c>
      <c r="N37" s="211" t="str">
        <f t="shared" si="2"/>
        <v/>
      </c>
      <c r="O37" s="211" t="str">
        <f t="shared" si="3"/>
        <v/>
      </c>
      <c r="P37" s="186">
        <f>IF(D37="",IF($P$47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$47="Freizeit",(-M37-J37+IF(ISNUMBER(N37),(N37*1.5),0)+IF(ISNUMBER(O37),(O37*2),0)+IF(OR(E37="ND",E37="ND12,5"),2,0)),(-M37-J37)),IF($P$47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103" t="str">
        <f>IF(D37="","",VLOOKUP(D37,Datenblatt!$A$2:$D$31,4,FALSE))</f>
        <v/>
      </c>
      <c r="R37" s="104" t="str">
        <f>IF(E37="","",VLOOKUP(E37,Datenblatt!$E$2:$G$28,2,FALSE))</f>
        <v/>
      </c>
      <c r="S37" s="105"/>
      <c r="T37" s="111">
        <f t="shared" si="5"/>
        <v>0</v>
      </c>
      <c r="U37" s="114">
        <f t="array" ref="U37">IF(T36=0,0,IF(AND((ROW(T36)=MATCH(TRUE,($T$1:$T$43)&gt;0,0)),(D36="ND")),IF(T36&lt;3,T36,3),IF(AND(ROW(T36)=MATCH(TRUE,($T$1:$T$43)&gt;0,0),D36="ND12,5"),IF(T36&lt;2.5,T36,2.5),IF(D36="ND12,5",2.5,(T36-V36-W36)))))</f>
        <v>0</v>
      </c>
      <c r="V37" s="112">
        <f t="array" ref="V37">IF(T37=0,0,IF(AND((ROW(T37)=MATCH(TRUE,($T$1:$T$43)&gt;0,0)),(D37="ND")),IF(AND(T37&gt;11,T37&lt;=25),T37-11,0),IF(AND(ROW(T37)=MATCH(TRUE,($T$1:$T$43)&gt;0,0),D37="ND12,5"),IF(AND(T37&gt;10.5,T37&lt;=12.5),T37-10.5,0),IF(D37="ND12,5",2,IF(T37&lt;14,T37,14)))))</f>
        <v>0</v>
      </c>
      <c r="W37" s="112">
        <f t="array" ref="W37">IF(T37=0,0,IF(AND((ROW(T37)=MATCH(TRUE,($T$1:$T$43)&gt;0,0)),(D37="ND")),IF(AND(T37&gt;3,T37&lt;11),T37-3,IF(T37&gt;=11,8,0)),IF(AND((ROW(T37)=MATCH(TRUE,($T$1:$T$43)&gt;0,0)),(D37="ND12,5")),IF(AND(T37&gt;2.5,T37&lt;10.5),T37-2.5,IF(T37&gt;=10.5,8,0)),IF(D37="ND12,5",8,IF(AND(T37&gt;14,T37&lt;22),(T37-V37),IF(T37&gt;=22,8,0))))))</f>
        <v>0</v>
      </c>
      <c r="X37" s="254">
        <f t="array" ref="X37">IF(T37=0,0,IF((AND((ROW(T37)=MATCH(TRUE,($T$1:$T$43)&gt;0,0)))),IF(W37&gt;=6,W37-6,0),IF(W37&gt;=2,2,W37)))</f>
        <v>0</v>
      </c>
      <c r="Y37" s="254">
        <f t="array" ref="Y37">IF(T36=0,0,(IF((AND((ROW(T36)=MATCH(TRUE,($T$1:$T$43)&gt;0,0)))),IF(W36&gt;=6,6,W36),IF(W36&gt;=2,W36-2,0))))</f>
        <v>0</v>
      </c>
      <c r="Z37" s="111" t="str">
        <f t="shared" si="6"/>
        <v/>
      </c>
      <c r="AA37" s="214">
        <f>IF(E36="ND",IF(ISERROR(MATCH(D37,Datenblatt!$L$2:$L$18,0)),3,2),IF(E36="ND12,5",IF(ISERROR(MATCH(D37,Datenblatt!$L$2:$L$18,0)),2.5,2),0))</f>
        <v>0</v>
      </c>
      <c r="AB37" s="214">
        <f>IF((IF(E37="ND",14-IF(D37="",0,VLOOKUP(D37,Datenblatt!$L$2:$M$30,2,FALSE)),IF(E37="ND12,5",2,0)))&lt;0,0,(IF(E37="ND",14-IF(D37="",0,VLOOKUP(D37,Datenblatt!$L$2:$M$30,2,FALSE)),IF(E37="ND12,5",2,0))))</f>
        <v>0</v>
      </c>
      <c r="AC37" s="214">
        <f t="shared" si="7"/>
        <v>0</v>
      </c>
      <c r="AD37" s="214">
        <f t="shared" si="8"/>
        <v>0</v>
      </c>
      <c r="AE37" s="214">
        <f t="shared" si="9"/>
        <v>0</v>
      </c>
      <c r="AF37" s="112">
        <f t="shared" si="10"/>
        <v>0</v>
      </c>
      <c r="AG37" s="112">
        <f t="shared" si="11"/>
        <v>0</v>
      </c>
      <c r="AH37" s="112">
        <f>IF(E37="",0,VLOOKUP(E37,Datenblatt!$E$2:$G$28,3,FALSE))</f>
        <v>0</v>
      </c>
    </row>
    <row r="38" spans="1:34" ht="13" customHeight="1">
      <c r="A38" s="89" t="str">
        <f>IF(ISERROR(VLOOKUP(C38,Datenblatt!$B$84:$B$97,1,FALSE)),"","Ft")</f>
        <v/>
      </c>
      <c r="B38" s="84">
        <f t="shared" si="0"/>
        <v>45560</v>
      </c>
      <c r="C38" s="86">
        <f t="shared" si="4"/>
        <v>45560</v>
      </c>
      <c r="D38" s="67"/>
      <c r="E38" s="67"/>
      <c r="F38" s="68"/>
      <c r="G38" s="69"/>
      <c r="H38" s="68"/>
      <c r="I38" s="68"/>
      <c r="J38" s="99"/>
      <c r="K38" s="21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20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10" t="str">
        <f>IF(D38="","",IF(E37="ND",VLOOKUP(D38,Datenblatt!$A$2:$C$31,3,FALSE)-1,IF(E37="ND12,5",VLOOKUP(D38,Datenblatt!$A$2:$C$31,3,FALSE)-0.5,VLOOKUP(D38,Datenblatt!$A$2:$C$31,3,FALSE))))</f>
        <v/>
      </c>
      <c r="N38" s="211" t="str">
        <f t="shared" si="2"/>
        <v/>
      </c>
      <c r="O38" s="211" t="str">
        <f t="shared" si="3"/>
        <v/>
      </c>
      <c r="P38" s="186">
        <f>IF(D38="",IF($P$47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$47="Freizeit",(-M38-J38+IF(ISNUMBER(N38),(N38*1.5),0)+IF(ISNUMBER(O38),(O38*2),0)+IF(OR(E38="ND",E38="ND12,5"),2,0)),(-M38-J38)),IF($P$47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103" t="str">
        <f>IF(D38="","",VLOOKUP(D38,Datenblatt!$A$2:$D$31,4,FALSE))</f>
        <v/>
      </c>
      <c r="R38" s="104" t="str">
        <f>IF(E38="","",VLOOKUP(E38,Datenblatt!$E$2:$G$28,2,FALSE))</f>
        <v/>
      </c>
      <c r="S38" s="105"/>
      <c r="T38" s="111">
        <f t="shared" si="5"/>
        <v>0</v>
      </c>
      <c r="U38" s="114">
        <f t="array" ref="U38">IF(T37=0,0,IF(AND((ROW(T37)=MATCH(TRUE,($T$1:$T$43)&gt;0,0)),(D37="ND")),IF(T37&lt;3,T37,3),IF(AND(ROW(T37)=MATCH(TRUE,($T$1:$T$43)&gt;0,0),D37="ND12,5"),IF(T37&lt;2.5,T37,2.5),IF(D37="ND12,5",2.5,(T37-V37-W37)))))</f>
        <v>0</v>
      </c>
      <c r="V38" s="112">
        <f t="array" ref="V38">IF(T38=0,0,IF(AND((ROW(T38)=MATCH(TRUE,($T$1:$T$43)&gt;0,0)),(D38="ND")),IF(AND(T38&gt;11,T38&lt;=25),T38-11,0),IF(AND(ROW(T38)=MATCH(TRUE,($T$1:$T$43)&gt;0,0),D38="ND12,5"),IF(AND(T38&gt;10.5,T38&lt;=12.5),T38-10.5,0),IF(D38="ND12,5",2,IF(T38&lt;14,T38,14)))))</f>
        <v>0</v>
      </c>
      <c r="W38" s="112">
        <f t="array" ref="W38">IF(T38=0,0,IF(AND((ROW(T38)=MATCH(TRUE,($T$1:$T$43)&gt;0,0)),(D38="ND")),IF(AND(T38&gt;3,T38&lt;11),T38-3,IF(T38&gt;=11,8,0)),IF(AND((ROW(T38)=MATCH(TRUE,($T$1:$T$43)&gt;0,0)),(D38="ND12,5")),IF(AND(T38&gt;2.5,T38&lt;10.5),T38-2.5,IF(T38&gt;=10.5,8,0)),IF(D38="ND12,5",8,IF(AND(T38&gt;14,T38&lt;22),(T38-V38),IF(T38&gt;=22,8,0))))))</f>
        <v>0</v>
      </c>
      <c r="X38" s="254">
        <f t="array" ref="X38">IF(T38=0,0,IF((AND((ROW(T38)=MATCH(TRUE,($T$1:$T$43)&gt;0,0)))),IF(W38&gt;=6,W38-6,0),IF(W38&gt;=2,2,W38)))</f>
        <v>0</v>
      </c>
      <c r="Y38" s="254">
        <f t="array" ref="Y38">IF(T37=0,0,(IF((AND((ROW(T37)=MATCH(TRUE,($T$1:$T$43)&gt;0,0)))),IF(W37&gt;=6,6,W37),IF(W37&gt;=2,W37-2,0))))</f>
        <v>0</v>
      </c>
      <c r="Z38" s="111" t="str">
        <f t="shared" si="6"/>
        <v/>
      </c>
      <c r="AA38" s="214">
        <f>IF(E37="ND",IF(ISERROR(MATCH(D38,Datenblatt!$L$2:$L$18,0)),3,2),IF(E37="ND12,5",IF(ISERROR(MATCH(D38,Datenblatt!$L$2:$L$18,0)),2.5,2),0))</f>
        <v>0</v>
      </c>
      <c r="AB38" s="214">
        <f>IF((IF(E38="ND",14-IF(D38="",0,VLOOKUP(D38,Datenblatt!$L$2:$M$30,2,FALSE)),IF(E38="ND12,5",2,0)))&lt;0,0,(IF(E38="ND",14-IF(D38="",0,VLOOKUP(D38,Datenblatt!$L$2:$M$30,2,FALSE)),IF(E38="ND12,5",2,0))))</f>
        <v>0</v>
      </c>
      <c r="AC38" s="214">
        <f t="shared" si="7"/>
        <v>0</v>
      </c>
      <c r="AD38" s="214">
        <f t="shared" si="8"/>
        <v>0</v>
      </c>
      <c r="AE38" s="214">
        <f t="shared" si="9"/>
        <v>0</v>
      </c>
      <c r="AF38" s="112">
        <f t="shared" si="10"/>
        <v>0</v>
      </c>
      <c r="AG38" s="112">
        <f t="shared" si="11"/>
        <v>0</v>
      </c>
      <c r="AH38" s="112">
        <f>IF(E38="",0,VLOOKUP(E38,Datenblatt!$E$2:$G$28,3,FALSE))</f>
        <v>0</v>
      </c>
    </row>
    <row r="39" spans="1:34" ht="13" customHeight="1">
      <c r="A39" s="89" t="str">
        <f>IF(ISERROR(VLOOKUP(C39,Datenblatt!$B$84:$B$97,1,FALSE)),"","Ft")</f>
        <v/>
      </c>
      <c r="B39" s="84">
        <f t="shared" si="0"/>
        <v>45561</v>
      </c>
      <c r="C39" s="86">
        <f t="shared" si="4"/>
        <v>45561</v>
      </c>
      <c r="D39" s="67"/>
      <c r="E39" s="67"/>
      <c r="F39" s="68"/>
      <c r="G39" s="69"/>
      <c r="H39" s="68"/>
      <c r="I39" s="68"/>
      <c r="J39" s="99"/>
      <c r="K39" s="21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20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10" t="str">
        <f>IF(D39="","",IF(E38="ND",VLOOKUP(D39,Datenblatt!$A$2:$C$31,3,FALSE)-1,IF(E38="ND12,5",VLOOKUP(D39,Datenblatt!$A$2:$C$31,3,FALSE)-0.5,VLOOKUP(D39,Datenblatt!$A$2:$C$31,3,FALSE))))</f>
        <v/>
      </c>
      <c r="N39" s="211" t="str">
        <f t="shared" si="2"/>
        <v/>
      </c>
      <c r="O39" s="211" t="str">
        <f t="shared" si="3"/>
        <v/>
      </c>
      <c r="P39" s="186">
        <f>IF(D39="",IF($P$47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$47="Freizeit",(-M39-J39+IF(ISNUMBER(N39),(N39*1.5),0)+IF(ISNUMBER(O39),(O39*2),0)+IF(OR(E39="ND",E39="ND12,5"),2,0)),(-M39-J39)),IF($P$47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103" t="str">
        <f>IF(D39="","",VLOOKUP(D39,Datenblatt!$A$2:$D$31,4,FALSE))</f>
        <v/>
      </c>
      <c r="R39" s="104" t="str">
        <f>IF(E39="","",VLOOKUP(E39,Datenblatt!$E$2:$G$28,2,FALSE))</f>
        <v/>
      </c>
      <c r="S39" s="105"/>
      <c r="T39" s="111">
        <f t="shared" si="5"/>
        <v>0</v>
      </c>
      <c r="U39" s="114">
        <f t="array" ref="U39">IF(T38=0,0,IF(AND((ROW(T38)=MATCH(TRUE,($T$1:$T$43)&gt;0,0)),(D38="ND")),IF(T38&lt;3,T38,3),IF(AND(ROW(T38)=MATCH(TRUE,($T$1:$T$43)&gt;0,0),D38="ND12,5"),IF(T38&lt;2.5,T38,2.5),IF(D38="ND12,5",2.5,(T38-V38-W38)))))</f>
        <v>0</v>
      </c>
      <c r="V39" s="112">
        <f t="array" ref="V39">IF(T39=0,0,IF(AND((ROW(T39)=MATCH(TRUE,($T$1:$T$43)&gt;0,0)),(D39="ND")),IF(AND(T39&gt;11,T39&lt;=25),T39-11,0),IF(AND(ROW(T39)=MATCH(TRUE,($T$1:$T$43)&gt;0,0),D39="ND12,5"),IF(AND(T39&gt;10.5,T39&lt;=12.5),T39-10.5,0),IF(D39="ND12,5",2,IF(T39&lt;14,T39,14)))))</f>
        <v>0</v>
      </c>
      <c r="W39" s="112">
        <f t="array" ref="W39">IF(T39=0,0,IF(AND((ROW(T39)=MATCH(TRUE,($T$1:$T$43)&gt;0,0)),(D39="ND")),IF(AND(T39&gt;3,T39&lt;11),T39-3,IF(T39&gt;=11,8,0)),IF(AND((ROW(T39)=MATCH(TRUE,($T$1:$T$43)&gt;0,0)),(D39="ND12,5")),IF(AND(T39&gt;2.5,T39&lt;10.5),T39-2.5,IF(T39&gt;=10.5,8,0)),IF(D39="ND12,5",8,IF(AND(T39&gt;14,T39&lt;22),(T39-V39),IF(T39&gt;=22,8,0))))))</f>
        <v>0</v>
      </c>
      <c r="X39" s="254">
        <f t="array" ref="X39">IF(T39=0,0,IF((AND((ROW(T39)=MATCH(TRUE,($T$1:$T$43)&gt;0,0)))),IF(W39&gt;=6,W39-6,0),IF(W39&gt;=2,2,W39)))</f>
        <v>0</v>
      </c>
      <c r="Y39" s="254">
        <f t="array" ref="Y39">IF(T38=0,0,(IF((AND((ROW(T38)=MATCH(TRUE,($T$1:$T$43)&gt;0,0)))),IF(W38&gt;=6,6,W38),IF(W38&gt;=2,W38-2,0))))</f>
        <v>0</v>
      </c>
      <c r="Z39" s="111" t="str">
        <f t="shared" si="6"/>
        <v/>
      </c>
      <c r="AA39" s="214">
        <f>IF(E38="ND",IF(ISERROR(MATCH(D39,Datenblatt!$L$2:$L$18,0)),3,2),IF(E38="ND12,5",IF(ISERROR(MATCH(D39,Datenblatt!$L$2:$L$18,0)),2.5,2),0))</f>
        <v>0</v>
      </c>
      <c r="AB39" s="214">
        <f>IF((IF(E39="ND",14-IF(D39="",0,VLOOKUP(D39,Datenblatt!$L$2:$M$30,2,FALSE)),IF(E39="ND12,5",2,0)))&lt;0,0,(IF(E39="ND",14-IF(D39="",0,VLOOKUP(D39,Datenblatt!$L$2:$M$30,2,FALSE)),IF(E39="ND12,5",2,0))))</f>
        <v>0</v>
      </c>
      <c r="AC39" s="214">
        <f t="shared" si="7"/>
        <v>0</v>
      </c>
      <c r="AD39" s="214">
        <f t="shared" si="8"/>
        <v>0</v>
      </c>
      <c r="AE39" s="214">
        <f t="shared" si="9"/>
        <v>0</v>
      </c>
      <c r="AF39" s="112">
        <f t="shared" si="10"/>
        <v>0</v>
      </c>
      <c r="AG39" s="112">
        <f t="shared" si="11"/>
        <v>0</v>
      </c>
      <c r="AH39" s="112">
        <f>IF(E39="",0,VLOOKUP(E39,Datenblatt!$E$2:$G$28,3,FALSE))</f>
        <v>0</v>
      </c>
    </row>
    <row r="40" spans="1:34" ht="13" customHeight="1">
      <c r="A40" s="89" t="str">
        <f>IF(ISERROR(VLOOKUP(C40,Datenblatt!$B$84:$B$97,1,FALSE)),"","Ft")</f>
        <v/>
      </c>
      <c r="B40" s="84">
        <f t="shared" si="0"/>
        <v>45562</v>
      </c>
      <c r="C40" s="86">
        <f t="shared" si="4"/>
        <v>45562</v>
      </c>
      <c r="D40" s="67"/>
      <c r="E40" s="67"/>
      <c r="F40" s="68"/>
      <c r="G40" s="69"/>
      <c r="H40" s="68"/>
      <c r="I40" s="68"/>
      <c r="J40" s="99"/>
      <c r="K40" s="21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20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10" t="str">
        <f>IF(D40="","",IF(E39="ND",VLOOKUP(D40,Datenblatt!$A$2:$C$31,3,FALSE)-1,IF(E39="ND12,5",VLOOKUP(D40,Datenblatt!$A$2:$C$31,3,FALSE)-0.5,VLOOKUP(D40,Datenblatt!$A$2:$C$31,3,FALSE))))</f>
        <v/>
      </c>
      <c r="N40" s="211" t="str">
        <f t="shared" si="2"/>
        <v/>
      </c>
      <c r="O40" s="211" t="str">
        <f t="shared" si="3"/>
        <v/>
      </c>
      <c r="P40" s="186">
        <f>IF(D40="",IF($P$47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$47="Freizeit",(-M40-J40+IF(ISNUMBER(N40),(N40*1.5),0)+IF(ISNUMBER(O40),(O40*2),0)+IF(OR(E40="ND",E40="ND12,5"),2,0)),(-M40-J40)),IF($P$47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103" t="str">
        <f>IF(D40="","",VLOOKUP(D40,Datenblatt!$A$2:$D$31,4,FALSE))</f>
        <v/>
      </c>
      <c r="R40" s="104" t="str">
        <f>IF(E40="","",VLOOKUP(E40,Datenblatt!$E$2:$G$28,2,FALSE))</f>
        <v/>
      </c>
      <c r="S40" s="106"/>
      <c r="T40" s="111">
        <f t="shared" si="5"/>
        <v>0</v>
      </c>
      <c r="U40" s="114">
        <f t="array" ref="U40">IF(T39=0,0,IF(AND((ROW(T39)=MATCH(TRUE,($T$1:$T$43)&gt;0,0)),(D39="ND")),IF(T39&lt;3,T39,3),IF(AND(ROW(T39)=MATCH(TRUE,($T$1:$T$43)&gt;0,0),D39="ND12,5"),IF(T39&lt;2.5,T39,2.5),IF(D39="ND12,5",2.5,(T39-V39-W39)))))</f>
        <v>0</v>
      </c>
      <c r="V40" s="112">
        <f t="array" ref="V40">IF(T40=0,0,IF(AND((ROW(T40)=MATCH(TRUE,($T$1:$T$43)&gt;0,0)),(D40="ND")),IF(AND(T40&gt;11,T40&lt;=25),T40-11,0),IF(AND(ROW(T40)=MATCH(TRUE,($T$1:$T$43)&gt;0,0),D40="ND12,5"),IF(AND(T40&gt;10.5,T40&lt;=12.5),T40-10.5,0),IF(D40="ND12,5",2,IF(T40&lt;14,T40,14)))))</f>
        <v>0</v>
      </c>
      <c r="W40" s="112">
        <f t="array" ref="W40">IF(T40=0,0,IF(AND((ROW(T40)=MATCH(TRUE,($T$1:$T$43)&gt;0,0)),(D40="ND")),IF(AND(T40&gt;3,T40&lt;11),T40-3,IF(T40&gt;=11,8,0)),IF(AND((ROW(T40)=MATCH(TRUE,($T$1:$T$43)&gt;0,0)),(D40="ND12,5")),IF(AND(T40&gt;2.5,T40&lt;10.5),T40-2.5,IF(T40&gt;=10.5,8,0)),IF(D40="ND12,5",8,IF(AND(T40&gt;14,T40&lt;22),(T40-V40),IF(T40&gt;=22,8,0))))))</f>
        <v>0</v>
      </c>
      <c r="X40" s="254">
        <f t="array" ref="X40">IF(T40=0,0,IF((AND((ROW(T40)=MATCH(TRUE,($T$1:$T$43)&gt;0,0)))),IF(W40&gt;=6,W40-6,0),IF(W40&gt;=2,2,W40)))</f>
        <v>0</v>
      </c>
      <c r="Y40" s="254">
        <f t="array" ref="Y40">IF(T39=0,0,(IF((AND((ROW(T39)=MATCH(TRUE,($T$1:$T$43)&gt;0,0)))),IF(W39&gt;=6,6,W39),IF(W39&gt;=2,W39-2,0))))</f>
        <v>0</v>
      </c>
      <c r="Z40" s="111" t="str">
        <f t="shared" si="6"/>
        <v/>
      </c>
      <c r="AA40" s="214">
        <f>IF(E39="ND",IF(ISERROR(MATCH(D40,Datenblatt!$L$2:$L$18,0)),3,2),IF(E39="ND12,5",IF(ISERROR(MATCH(D40,Datenblatt!$L$2:$L$18,0)),2.5,2),0))</f>
        <v>0</v>
      </c>
      <c r="AB40" s="214">
        <f>IF((IF(E40="ND",14-IF(D40="",0,VLOOKUP(D40,Datenblatt!$L$2:$M$30,2,FALSE)),IF(E40="ND12,5",2,0)))&lt;0,0,(IF(E40="ND",14-IF(D40="",0,VLOOKUP(D40,Datenblatt!$L$2:$M$30,2,FALSE)),IF(E40="ND12,5",2,0))))</f>
        <v>0</v>
      </c>
      <c r="AC40" s="214">
        <f t="shared" si="7"/>
        <v>0</v>
      </c>
      <c r="AD40" s="214">
        <f t="shared" si="8"/>
        <v>0</v>
      </c>
      <c r="AE40" s="214">
        <f t="shared" si="9"/>
        <v>0</v>
      </c>
      <c r="AF40" s="112">
        <f t="shared" si="10"/>
        <v>0</v>
      </c>
      <c r="AG40" s="112">
        <f t="shared" si="11"/>
        <v>0</v>
      </c>
      <c r="AH40" s="112">
        <f>IF(E40="",0,VLOOKUP(E40,Datenblatt!$E$2:$G$28,3,FALSE))</f>
        <v>0</v>
      </c>
    </row>
    <row r="41" spans="1:34" ht="13" customHeight="1">
      <c r="A41" s="89" t="str">
        <f>IF(ISERROR(VLOOKUP(C41,Datenblatt!$B$84:$B$97,1,FALSE)),"","Ft")</f>
        <v/>
      </c>
      <c r="B41" s="84">
        <f t="shared" si="0"/>
        <v>45563</v>
      </c>
      <c r="C41" s="86">
        <f t="shared" si="4"/>
        <v>45563</v>
      </c>
      <c r="D41" s="67"/>
      <c r="E41" s="67"/>
      <c r="F41" s="68"/>
      <c r="G41" s="69"/>
      <c r="H41" s="68"/>
      <c r="I41" s="68"/>
      <c r="J41" s="99"/>
      <c r="K41" s="21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20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10" t="str">
        <f>IF(D41="","",IF(E40="ND",VLOOKUP(D41,Datenblatt!$A$2:$C$31,3,FALSE)-1,IF(E40="ND12,5",VLOOKUP(D41,Datenblatt!$A$2:$C$31,3,FALSE)-0.5,VLOOKUP(D41,Datenblatt!$A$2:$C$31,3,FALSE))))</f>
        <v/>
      </c>
      <c r="N41" s="211" t="str">
        <f t="shared" si="2"/>
        <v/>
      </c>
      <c r="O41" s="211" t="str">
        <f t="shared" si="3"/>
        <v/>
      </c>
      <c r="P41" s="186">
        <f>IF(D41="",IF($P$47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$47="Freizeit",(-M41-J41+IF(ISNUMBER(N41),(N41*1.5),0)+IF(ISNUMBER(O41),(O41*2),0)+IF(OR(E41="ND",E41="ND12,5"),2,0)),(-M41-J41)),IF($P$47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103" t="str">
        <f>IF(D41="","",VLOOKUP(D41,Datenblatt!$A$2:$D$31,4,FALSE))</f>
        <v/>
      </c>
      <c r="R41" s="104" t="str">
        <f>IF(E41="","",VLOOKUP(E41,Datenblatt!$E$2:$G$28,2,FALSE))</f>
        <v/>
      </c>
      <c r="S41" s="106"/>
      <c r="T41" s="111">
        <f t="shared" si="5"/>
        <v>0</v>
      </c>
      <c r="U41" s="114">
        <f t="array" ref="U41">IF(T40=0,0,IF(AND((ROW(T40)=MATCH(TRUE,($T$1:$T$43)&gt;0,0)),(D40="ND")),IF(T40&lt;3,T40,3),IF(AND(ROW(T40)=MATCH(TRUE,($T$1:$T$43)&gt;0,0),D40="ND12,5"),IF(T40&lt;2.5,T40,2.5),IF(D40="ND12,5",2.5,(T40-V40-W40)))))</f>
        <v>0</v>
      </c>
      <c r="V41" s="112">
        <f t="array" ref="V41">IF(T41=0,0,IF(AND((ROW(T41)=MATCH(TRUE,($T$1:$T$43)&gt;0,0)),(D41="ND")),IF(AND(T41&gt;11,T41&lt;=25),T41-11,0),IF(AND(ROW(T41)=MATCH(TRUE,($T$1:$T$43)&gt;0,0),D41="ND12,5"),IF(AND(T41&gt;10.5,T41&lt;=12.5),T41-10.5,0),IF(D41="ND12,5",2,IF(T41&lt;14,T41,14)))))</f>
        <v>0</v>
      </c>
      <c r="W41" s="112">
        <f t="array" ref="W41">IF(T41=0,0,IF(AND((ROW(T41)=MATCH(TRUE,($T$1:$T$43)&gt;0,0)),(D41="ND")),IF(AND(T41&gt;3,T41&lt;11),T41-3,IF(T41&gt;=11,8,0)),IF(AND((ROW(T41)=MATCH(TRUE,($T$1:$T$43)&gt;0,0)),(D41="ND12,5")),IF(AND(T41&gt;2.5,T41&lt;10.5),T41-2.5,IF(T41&gt;=10.5,8,0)),IF(D41="ND12,5",8,IF(AND(T41&gt;14,T41&lt;22),(T41-V41),IF(T41&gt;=22,8,0))))))</f>
        <v>0</v>
      </c>
      <c r="X41" s="254">
        <f t="array" ref="X41">IF(T41=0,0,IF((AND((ROW(T41)=MATCH(TRUE,($T$1:$T$43)&gt;0,0)))),IF(W41&gt;=6,W41-6,0),IF(W41&gt;=2,2,W41)))</f>
        <v>0</v>
      </c>
      <c r="Y41" s="254">
        <f t="array" ref="Y41">IF(T40=0,0,(IF((AND((ROW(T40)=MATCH(TRUE,($T$1:$T$43)&gt;0,0)))),IF(W40&gt;=6,6,W40),IF(W40&gt;=2,W40-2,0))))</f>
        <v>0</v>
      </c>
      <c r="Z41" s="111" t="str">
        <f t="shared" si="6"/>
        <v/>
      </c>
      <c r="AA41" s="214">
        <f>IF(E40="ND",IF(ISERROR(MATCH(D41,Datenblatt!$L$2:$L$18,0)),3,2),IF(E40="ND12,5",IF(ISERROR(MATCH(D41,Datenblatt!$L$2:$L$18,0)),2.5,2),0))</f>
        <v>0</v>
      </c>
      <c r="AB41" s="214">
        <f>IF((IF(E41="ND",14-IF(D41="",0,VLOOKUP(D41,Datenblatt!$L$2:$M$30,2,FALSE)),IF(E41="ND12,5",2,0)))&lt;0,0,(IF(E41="ND",14-IF(D41="",0,VLOOKUP(D41,Datenblatt!$L$2:$M$30,2,FALSE)),IF(E41="ND12,5",2,0))))</f>
        <v>0</v>
      </c>
      <c r="AC41" s="214">
        <f t="shared" si="7"/>
        <v>0</v>
      </c>
      <c r="AD41" s="214">
        <f t="shared" si="8"/>
        <v>0</v>
      </c>
      <c r="AE41" s="214">
        <f t="shared" si="9"/>
        <v>0</v>
      </c>
      <c r="AF41" s="112">
        <f t="shared" si="10"/>
        <v>0</v>
      </c>
      <c r="AG41" s="112">
        <f t="shared" si="11"/>
        <v>0</v>
      </c>
      <c r="AH41" s="112">
        <f>IF(E41="",0,VLOOKUP(E41,Datenblatt!$E$2:$G$28,3,FALSE))</f>
        <v>0</v>
      </c>
    </row>
    <row r="42" spans="1:34" ht="13" customHeight="1">
      <c r="A42" s="89" t="str">
        <f>IF(ISERROR(VLOOKUP(C42,Datenblatt!$B$84:$B$97,1,FALSE)),"","Ft")</f>
        <v/>
      </c>
      <c r="B42" s="84">
        <f t="shared" si="0"/>
        <v>45564</v>
      </c>
      <c r="C42" s="87">
        <f>C41+1</f>
        <v>45564</v>
      </c>
      <c r="D42" s="67"/>
      <c r="E42" s="67"/>
      <c r="F42" s="68"/>
      <c r="G42" s="69"/>
      <c r="H42" s="68"/>
      <c r="I42" s="68"/>
      <c r="J42" s="99"/>
      <c r="K42" s="21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20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10" t="str">
        <f>IF(D42="","",IF(E41="ND",VLOOKUP(D42,Datenblatt!$A$2:$C$31,3,FALSE)-1,IF(E41="ND12,5",VLOOKUP(D42,Datenblatt!$A$2:$C$31,3,FALSE)-0.5,VLOOKUP(D42,Datenblatt!$A$2:$C$31,3,FALSE))))</f>
        <v/>
      </c>
      <c r="N42" s="211" t="str">
        <f t="shared" si="2"/>
        <v/>
      </c>
      <c r="O42" s="211">
        <f t="shared" si="3"/>
        <v>0</v>
      </c>
      <c r="P42" s="186">
        <f>IF(D42="",IF($P$47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$47="Freizeit",(-M42-J42+IF(ISNUMBER(N42),(N42*1.5),0)+IF(ISNUMBER(O42),(O42*2),0)+IF(OR(E42="ND",E42="ND12,5"),2,0)),(-M42-J42)),IF($P$47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103" t="str">
        <f>IF(D42="","",VLOOKUP(D42,Datenblatt!$A$2:$D$31,4,FALSE))</f>
        <v/>
      </c>
      <c r="R42" s="104" t="str">
        <f>IF(E42="","",VLOOKUP(E42,Datenblatt!$E$2:$G$28,2,FALSE))</f>
        <v/>
      </c>
      <c r="S42" s="107"/>
      <c r="T42" s="111">
        <f t="shared" si="5"/>
        <v>0</v>
      </c>
      <c r="U42" s="114">
        <f t="array" ref="U42">IF(T41=0,0,IF(AND((ROW(T41)=MATCH(TRUE,($T$1:$T$43)&gt;0,0)),(D41="ND")),IF(T41&lt;3,T41,3),IF(AND(ROW(T41)=MATCH(TRUE,($T$1:$T$43)&gt;0,0),D41="ND12,5"),IF(T41&lt;2.5,T41,2.5),IF(D41="ND12,5",2.5,(T41-V41-W41)))))</f>
        <v>0</v>
      </c>
      <c r="V42" s="112">
        <f t="array" ref="V42">IF(T42=0,0,IF(AND((ROW(T42)=MATCH(TRUE,($T$1:$T$43)&gt;0,0)),(D42="ND")),IF(AND(T42&gt;11,T42&lt;=25),T42-11,0),IF(AND(ROW(T42)=MATCH(TRUE,($T$1:$T$43)&gt;0,0),D42="ND12,5"),IF(AND(T42&gt;10.5,T42&lt;=12.5),T42-10.5,0),IF(D42="ND12,5",2,IF(T42&lt;14,T42,14)))))</f>
        <v>0</v>
      </c>
      <c r="W42" s="112">
        <f t="array" ref="W42">IF(T42=0,0,IF(AND((ROW(T42)=MATCH(TRUE,($T$1:$T$43)&gt;0,0)),(D42="ND")),IF(AND(T42&gt;3,T42&lt;11),T42-3,IF(T42&gt;=11,8,0)),IF(AND((ROW(T42)=MATCH(TRUE,($T$1:$T$43)&gt;0,0)),(D42="ND12,5")),IF(AND(T42&gt;2.5,T42&lt;10.5),T42-2.5,IF(T42&gt;=10.5,8,0)),IF(D42="ND12,5",8,IF(AND(T42&gt;14,T42&lt;22),(T42-V42),IF(T42&gt;=22,8,0))))))</f>
        <v>0</v>
      </c>
      <c r="X42" s="254">
        <f t="array" ref="X42">IF(T42=0,0,IF((AND((ROW(T42)=MATCH(TRUE,($T$1:$T$43)&gt;0,0)))),IF(W42&gt;=6,W42-6,0),IF(W42&gt;=2,2,W42)))</f>
        <v>0</v>
      </c>
      <c r="Y42" s="254">
        <f t="array" ref="Y42">IF(T41=0,0,(IF((AND((ROW(T41)=MATCH(TRUE,($T$1:$T$43)&gt;0,0)))),IF(W41&gt;=6,6,W41),IF(W41&gt;=2,W41-2,0))))</f>
        <v>0</v>
      </c>
      <c r="Z42" s="111" t="str">
        <f t="shared" si="6"/>
        <v/>
      </c>
      <c r="AA42" s="214">
        <f>IF(E41="ND",IF(ISERROR(MATCH(D42,Datenblatt!$L$2:$L$18,0)),3,2),IF(E41="ND12,5",IF(ISERROR(MATCH(D42,Datenblatt!$L$2:$L$18,0)),2.5,2),0))</f>
        <v>0</v>
      </c>
      <c r="AB42" s="214">
        <f>IF((IF(E42="ND",14-IF(D42="",0,VLOOKUP(D42,Datenblatt!$L$2:$M$30,2,FALSE)),IF(E42="ND12,5",2,0)))&lt;0,0,(IF(E42="ND",14-IF(D42="",0,VLOOKUP(D42,Datenblatt!$L$2:$M$30,2,FALSE)),IF(E42="ND12,5",2,0))))</f>
        <v>0</v>
      </c>
      <c r="AC42" s="214">
        <f t="shared" si="7"/>
        <v>0</v>
      </c>
      <c r="AD42" s="214">
        <f t="shared" si="8"/>
        <v>0</v>
      </c>
      <c r="AE42" s="214">
        <f t="shared" si="9"/>
        <v>0</v>
      </c>
      <c r="AF42" s="112">
        <f t="shared" si="10"/>
        <v>0</v>
      </c>
      <c r="AG42" s="112">
        <f t="shared" si="11"/>
        <v>0</v>
      </c>
      <c r="AH42" s="112">
        <f>IF(E42="",0,VLOOKUP(E42,Datenblatt!$E$2:$G$28,3,FALSE))</f>
        <v>0</v>
      </c>
    </row>
    <row r="43" spans="1:34" ht="13" customHeight="1">
      <c r="A43" s="89" t="str">
        <f>IF(ISERROR(VLOOKUP(C43,Datenblatt!$B$84:$B$97,1,FALSE)),"","Ft")</f>
        <v/>
      </c>
      <c r="B43" s="159">
        <f t="shared" si="0"/>
        <v>45565</v>
      </c>
      <c r="C43" s="160">
        <f>C42+1</f>
        <v>45565</v>
      </c>
      <c r="D43" s="67"/>
      <c r="E43" s="67"/>
      <c r="F43" s="68"/>
      <c r="G43" s="69"/>
      <c r="H43" s="68"/>
      <c r="I43" s="68"/>
      <c r="J43" s="99"/>
      <c r="K43" s="21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209" t="str">
        <f>IF(D43="","",IF(OR(E42="ND",E42="ND12,5",E43="ND12,5",E43="ZA",E43="NDG",E43="RG",E43="WR"),0+AE43,IF(OR(D43="U",D43="SU",D43="PK",D43="K",D43="KA"),VLOOKUP(D43,Datenblatt!$A$2:$E$31,2,FALSE),VLOOKUP(D43,Datenblatt!$A$2:$C$31,2,FALSE)-J43-L44)))</f>
        <v/>
      </c>
      <c r="M43" s="210" t="str">
        <f>IF(D43="","",IF(E42="ND",VLOOKUP(D43,Datenblatt!$A$2:$C$31,3,FALSE)-1,IF(E42="ND12,5",VLOOKUP(D43,Datenblatt!$A$2:$C$31,3,FALSE)-0.5,VLOOKUP(D43,Datenblatt!$A$2:$C$31,3,FALSE)-M44)))</f>
        <v/>
      </c>
      <c r="N43" s="211" t="str">
        <f t="shared" si="2"/>
        <v/>
      </c>
      <c r="O43" s="211" t="str">
        <f t="shared" si="3"/>
        <v/>
      </c>
      <c r="P43" s="186">
        <f>IF(D43="",IF($P$47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$47="Freizeit",(-M43-J43+IF(ISNUMBER(N43),(N43*1.5),0)+IF(ISNUMBER(O43),(O43*2),0)+IF(OR(E43="ND",E43="ND12,5"),2,0)),(-M43-J43)),IF($P$47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103" t="str">
        <f>IF(D43="","",VLOOKUP(D43,Datenblatt!$A$2:$D$31,4,FALSE))</f>
        <v/>
      </c>
      <c r="R43" s="104" t="str">
        <f>IF(E43="","",VLOOKUP(E43,Datenblatt!$E$2:$G$28,2,FALSE))</f>
        <v/>
      </c>
      <c r="S43" s="107"/>
      <c r="T43" s="111">
        <f t="shared" si="5"/>
        <v>0</v>
      </c>
      <c r="U43" s="114">
        <f t="array" ref="U43">IF(T42=0,0,IF(AND((ROW(T42)=MATCH(TRUE,($T$1:$T$43)&gt;0,0)),(D42="ND")),IF(T42&lt;3,T42,3),IF(AND(ROW(T42)=MATCH(TRUE,($T$1:$T$43)&gt;0,0),D42="ND12,5"),IF(T42&lt;2.5,T42,2.5),IF(D42="ND12,5",2.5,(T42-V42-W42)))))</f>
        <v>0</v>
      </c>
      <c r="V43" s="112">
        <f t="array" ref="V43">IF(T43=0,0,IF(AND((ROW(T43)=MATCH(TRUE,($T$1:$T$43)&gt;0,0)),(D43="ND")),IF(T43&gt;2,T43-2,0),IF(AND(ROW(T43)=MATCH(TRUE,($T$1:$T$43)&gt;0,0),D43="ND12,5"),IF(T43&gt;2,T43-2,0),IF(D43="ND12,5",IF(T43&gt;2,T43-2,0),(IF(T43&lt;14,T43,14))))))</f>
        <v>0</v>
      </c>
      <c r="W43" s="112">
        <f t="array" ref="W43">IF(T43=0,0,IF(AND((ROW(T43)=MATCH(TRUE,($T$1:$T$43)&gt;0,0)),(D43="ND")),IF(T43&gt;=2,2,T43),IF(AND((ROW(T43)=MATCH(TRUE,($T$1:$T$43)&gt;0,0)),(D43="ND12,5")),IF(T43&gt;=2,2,T43),IF(D43="ND12,5",2,IF(AND(T43&gt;14,T43&lt;22),(T43-V43),IF(T43&gt;=22,8,0))))))</f>
        <v>0</v>
      </c>
      <c r="X43" s="254">
        <f t="array" ref="X43">IF(T43=0,0,IF((AND((ROW(T43)=MATCH(TRUE,($T$1:$T$43)&gt;0,0)))),IF(W43&gt;=0,W43-0,0),IF(W43&gt;=2,2,W43)))</f>
        <v>0</v>
      </c>
      <c r="Y43" s="254">
        <f t="array" ref="Y43">IF(T42=0,0,(IF((AND((ROW(T42)=MATCH(TRUE,($T$1:$T$43)&gt;0,0)))),IF(W42&gt;=6,6,W42),IF(W42&gt;=2,W42-2,0))))</f>
        <v>0</v>
      </c>
      <c r="Z43" s="111" t="str">
        <f t="shared" si="6"/>
        <v/>
      </c>
      <c r="AA43" s="214">
        <f>IF(E42="ND",IF(ISERROR(MATCH(D43,Datenblatt!$L$2:$L$18,0)),3,2),IF(E42="ND12,5",IF(ISERROR(MATCH(D43,Datenblatt!$L$2:$L$18,0)),2.5,2),0))</f>
        <v>0</v>
      </c>
      <c r="AB43" s="214">
        <f>IF((IF(E43="ND",14-IF(D43="",0,VLOOKUP(D43,Datenblatt!$L$2:$M$30,2,FALSE)),IF(E43="ND12,5",2,0)))&lt;0,0,(IF(E43="ND",14-IF(D43="",0,VLOOKUP(D43,Datenblatt!$L$2:$M$30,2,FALSE)),IF(E43="ND12,5",2,0))))</f>
        <v>0</v>
      </c>
      <c r="AC43" s="214">
        <f t="shared" si="7"/>
        <v>0</v>
      </c>
      <c r="AD43" s="214">
        <f t="shared" si="8"/>
        <v>0</v>
      </c>
      <c r="AE43" s="214">
        <f t="shared" si="9"/>
        <v>0</v>
      </c>
      <c r="AF43" s="112">
        <f t="shared" si="10"/>
        <v>0</v>
      </c>
      <c r="AG43" s="112">
        <f t="shared" si="11"/>
        <v>0</v>
      </c>
      <c r="AH43" s="112">
        <f>IF(E43="",0,VLOOKUP(E43,Datenblatt!$E$2:$G$28,3,FALSE))</f>
        <v>0</v>
      </c>
    </row>
    <row r="44" spans="1:34" ht="13" customHeight="1" thickBot="1">
      <c r="A44" s="227" t="str">
        <f>IF(ISERROR(VLOOKUP(C44,Datenblatt!$B$84:$B$97,1,FALSE)),"","Ft")</f>
        <v/>
      </c>
      <c r="B44" s="153"/>
      <c r="C44" s="150"/>
      <c r="D44" s="150"/>
      <c r="E44" s="150"/>
      <c r="F44" s="150"/>
      <c r="G44" s="150"/>
      <c r="H44" s="150"/>
      <c r="I44" s="150"/>
      <c r="J44" s="154">
        <f>SUM(J14:J43)</f>
        <v>0</v>
      </c>
      <c r="K44" s="213">
        <f>SUM(K14:K43)</f>
        <v>0</v>
      </c>
      <c r="L44" s="172" t="str">
        <f>IF(D43="ND",9,IF(D43="ND12,5",8.5,"0"))</f>
        <v>0</v>
      </c>
      <c r="M44" s="172" t="str">
        <f>IF(D43="ND",9,IF(D43="ND12,5",8.5,"0"))</f>
        <v>0</v>
      </c>
      <c r="N44" s="219">
        <f t="shared" ref="N44:O44" si="12">SUM(N14:N43)</f>
        <v>0</v>
      </c>
      <c r="O44" s="219">
        <f t="shared" si="12"/>
        <v>0</v>
      </c>
      <c r="P44" s="197">
        <f>SUM(P14:P43)</f>
        <v>0</v>
      </c>
      <c r="Q44" s="175"/>
      <c r="R44" s="156"/>
      <c r="S44" s="157"/>
      <c r="T44" s="155"/>
      <c r="U44" s="115"/>
      <c r="V44" s="116"/>
      <c r="W44" s="116"/>
      <c r="X44" s="116"/>
      <c r="Y44" s="116"/>
      <c r="Z44" s="155"/>
      <c r="AA44" s="215"/>
      <c r="AB44" s="215"/>
      <c r="AC44" s="215"/>
      <c r="AD44" s="215"/>
      <c r="AE44" s="215"/>
      <c r="AF44" s="215"/>
      <c r="AG44" s="215"/>
      <c r="AH44" s="215"/>
    </row>
    <row r="45" spans="1:34" s="80" customFormat="1" ht="0.75" customHeight="1" thickBot="1">
      <c r="A45" s="470"/>
      <c r="B45" s="70"/>
      <c r="C45" s="71"/>
      <c r="D45" s="72"/>
      <c r="E45" s="102"/>
      <c r="F45" s="73"/>
      <c r="G45" s="74"/>
      <c r="H45" s="75"/>
      <c r="I45" s="74"/>
      <c r="J45" s="76"/>
      <c r="K45" s="94"/>
      <c r="L45" s="75"/>
      <c r="M45" s="77"/>
      <c r="N45" s="77"/>
      <c r="O45" s="78"/>
      <c r="P45" s="79"/>
      <c r="Q45" s="74"/>
      <c r="R45" s="70"/>
      <c r="T45" s="117"/>
      <c r="U45" s="117"/>
      <c r="V45" s="117"/>
      <c r="W45" s="117"/>
      <c r="X45" s="117"/>
      <c r="Y45" s="117"/>
      <c r="Z45" s="187"/>
      <c r="AA45" s="216"/>
      <c r="AB45" s="216"/>
      <c r="AC45" s="216"/>
      <c r="AD45" s="216"/>
      <c r="AE45" s="216"/>
      <c r="AF45" s="118"/>
      <c r="AG45" s="118"/>
      <c r="AH45" s="118"/>
    </row>
    <row r="46" spans="1:34" s="66" customFormat="1">
      <c r="A46" s="227"/>
      <c r="B46" s="168" t="s">
        <v>147</v>
      </c>
      <c r="C46" s="168"/>
      <c r="D46" s="59"/>
      <c r="E46" s="59"/>
      <c r="F46" s="56"/>
      <c r="G46" s="56"/>
      <c r="H46" s="56"/>
      <c r="I46" s="251"/>
      <c r="J46" s="251"/>
      <c r="K46" s="251"/>
      <c r="L46" s="542" t="s">
        <v>289</v>
      </c>
      <c r="M46" s="542"/>
      <c r="N46" s="542"/>
      <c r="O46" s="543"/>
      <c r="P46" s="201" t="s">
        <v>146</v>
      </c>
      <c r="Q46" s="348">
        <f>IF($P$46="ja",SUMPRODUCT((WEEKDAY($B$14:$B$43,2)=1)*2),0)</f>
        <v>0</v>
      </c>
      <c r="R46" s="158"/>
      <c r="S46" s="171"/>
      <c r="T46" s="118"/>
      <c r="U46" s="118"/>
      <c r="V46" s="118"/>
      <c r="W46" s="118"/>
      <c r="X46" s="118"/>
      <c r="Y46" s="118"/>
      <c r="Z46" s="188"/>
      <c r="AA46" s="217"/>
      <c r="AB46" s="217"/>
      <c r="AC46" s="217"/>
      <c r="AD46" s="217"/>
      <c r="AE46" s="217"/>
      <c r="AF46" s="243"/>
      <c r="AG46" s="243"/>
      <c r="AH46" s="243"/>
    </row>
    <row r="47" spans="1:34" s="66" customFormat="1">
      <c r="A47" s="227"/>
      <c r="B47" s="191" t="str">
        <f>"Verrechnung von Sonderzahlungen, Überstunden, Nachtgutstunden und Nachtdiensten erfolgt im Folgemonat"&amp;" "&amp;Start!$B$24</f>
        <v>Verrechnung von Sonderzahlungen, Überstunden, Nachtgutstunden und Nachtdiensten erfolgt im Folgemonat Oktober</v>
      </c>
      <c r="C47" s="168"/>
      <c r="D47" s="59"/>
      <c r="E47" s="59"/>
      <c r="F47" s="56"/>
      <c r="G47" s="56"/>
      <c r="H47" s="82"/>
      <c r="I47" s="82"/>
      <c r="J47" s="83"/>
      <c r="K47" s="83"/>
      <c r="L47" s="538" t="s">
        <v>290</v>
      </c>
      <c r="M47" s="538"/>
      <c r="N47" s="538"/>
      <c r="O47" s="539"/>
      <c r="P47" s="204" t="s">
        <v>292</v>
      </c>
      <c r="Q47" s="347" t="str">
        <f>IF($P$47="Freizeit","       als Gutstunden abgerechnet","       im Folgemonat ausbezahlt")</f>
        <v xml:space="preserve">       als Gutstunden abgerechnet</v>
      </c>
      <c r="R47" s="203"/>
      <c r="S47" s="192"/>
      <c r="T47" s="118"/>
      <c r="U47" s="118"/>
      <c r="V47" s="118"/>
      <c r="W47" s="118"/>
      <c r="X47" s="118"/>
      <c r="Y47" s="118"/>
      <c r="Z47" s="188"/>
      <c r="AA47" s="217"/>
      <c r="AB47" s="217"/>
      <c r="AC47" s="217"/>
      <c r="AD47" s="217"/>
      <c r="AE47" s="217"/>
      <c r="AF47" s="118"/>
      <c r="AG47" s="118"/>
      <c r="AH47" s="301"/>
    </row>
    <row r="48" spans="1:34" s="66" customFormat="1" ht="15" thickBot="1">
      <c r="A48" s="227"/>
      <c r="B48" s="168"/>
      <c r="C48" s="168"/>
      <c r="D48" s="59"/>
      <c r="E48" s="59"/>
      <c r="F48" s="56"/>
      <c r="G48" s="56"/>
      <c r="H48" s="82"/>
      <c r="I48" s="82"/>
      <c r="J48" s="83"/>
      <c r="K48" s="83"/>
      <c r="L48" s="88"/>
      <c r="M48" s="88"/>
      <c r="N48" s="59"/>
      <c r="O48" s="59"/>
      <c r="P48" s="59"/>
      <c r="S48" s="56"/>
      <c r="T48" s="118"/>
      <c r="U48" s="118"/>
      <c r="V48" s="118"/>
      <c r="W48" s="118"/>
      <c r="X48" s="118"/>
      <c r="Y48" s="118"/>
      <c r="Z48" s="188"/>
      <c r="AA48" s="217"/>
      <c r="AB48" s="217"/>
      <c r="AC48" s="217"/>
      <c r="AD48" s="217"/>
      <c r="AE48" s="217"/>
      <c r="AF48" s="118"/>
      <c r="AG48" s="118"/>
      <c r="AH48" s="301"/>
    </row>
    <row r="49" spans="1:34" s="66" customFormat="1" ht="13" hidden="1" customHeight="1">
      <c r="A49" s="227"/>
      <c r="B49" s="81"/>
      <c r="C49" s="81"/>
      <c r="D49" s="56"/>
      <c r="E49" s="56"/>
      <c r="F49" s="56"/>
      <c r="G49" s="56"/>
      <c r="H49" s="82"/>
      <c r="I49" s="82"/>
      <c r="J49" s="83"/>
      <c r="K49" s="83"/>
      <c r="L49" s="88"/>
      <c r="M49" s="88"/>
      <c r="N49" s="59"/>
      <c r="O49" s="59"/>
      <c r="P49" s="59"/>
      <c r="S49" s="56"/>
      <c r="T49" s="118"/>
      <c r="U49" s="118"/>
      <c r="V49" s="118"/>
      <c r="W49" s="118"/>
      <c r="X49" s="118"/>
      <c r="Y49" s="118"/>
      <c r="Z49" s="188"/>
      <c r="AA49" s="217"/>
      <c r="AB49" s="217"/>
      <c r="AC49" s="217"/>
      <c r="AD49" s="217"/>
      <c r="AE49" s="217"/>
      <c r="AF49" s="118"/>
      <c r="AG49" s="118"/>
      <c r="AH49" s="301"/>
    </row>
    <row r="50" spans="1:34" s="59" customFormat="1" ht="13" customHeight="1">
      <c r="A50" s="471"/>
      <c r="B50" s="452" t="s">
        <v>248</v>
      </c>
      <c r="C50" s="608" t="s">
        <v>249</v>
      </c>
      <c r="D50" s="608"/>
      <c r="E50" s="453" t="s">
        <v>412</v>
      </c>
      <c r="F50" s="272"/>
      <c r="G50" s="317" t="s">
        <v>83</v>
      </c>
      <c r="H50" s="318"/>
      <c r="I50" s="322"/>
      <c r="J50" s="322"/>
      <c r="K50" s="322"/>
      <c r="L50" s="319">
        <f>$Q$6</f>
        <v>5365.31</v>
      </c>
      <c r="N50" s="612" t="str">
        <f>"Monatsprofil"&amp;" "&amp;Start!$B$23</f>
        <v>Monatsprofil September</v>
      </c>
      <c r="O50" s="613"/>
      <c r="P50" s="614"/>
      <c r="T50" s="242"/>
      <c r="U50" s="242"/>
      <c r="V50" s="242"/>
      <c r="W50" s="242"/>
      <c r="X50" s="242"/>
      <c r="Y50" s="242"/>
      <c r="Z50" s="188"/>
      <c r="AA50" s="217"/>
      <c r="AB50" s="217"/>
      <c r="AC50" s="217"/>
      <c r="AD50" s="217"/>
      <c r="AE50" s="217"/>
      <c r="AF50" s="242"/>
      <c r="AG50" s="242"/>
      <c r="AH50" s="302"/>
    </row>
    <row r="51" spans="1:34" s="89" customFormat="1" ht="13" customHeight="1">
      <c r="A51" s="227"/>
      <c r="B51" s="355">
        <f>COUNTIF($D$14:$E$43,"U")-COUNTIFS($D$14:$D$43,"U",$E$14:$E$43,"K")-COUNTIFS($D$14:$D$43,"U",$E$14:$E$43,"PK")</f>
        <v>0</v>
      </c>
      <c r="C51" s="454" t="s">
        <v>18</v>
      </c>
      <c r="D51" s="455">
        <f>SUMIFS($P$14:$P$43,$D$14:$D$43,"U")+SUMIFS($P$14:$P$43,$E$14:$E$43,"U")</f>
        <v>0</v>
      </c>
      <c r="E51" s="456"/>
      <c r="F51" s="316"/>
      <c r="G51" s="341" t="s">
        <v>354</v>
      </c>
      <c r="H51" s="342"/>
      <c r="I51" s="343"/>
      <c r="J51" s="343"/>
      <c r="K51" s="343"/>
      <c r="L51" s="344">
        <f>IF(OR(Start!$D$8=Gehalt!$K$37,Start!$D$8=Gehalt!$K$39,Start!$D$8=Gehalt!$K$41),Gehalt!$C$29,0)</f>
        <v>0</v>
      </c>
      <c r="N51" s="615"/>
      <c r="O51" s="616"/>
      <c r="P51" s="617"/>
      <c r="T51" s="278" t="s">
        <v>398</v>
      </c>
      <c r="U51" s="119">
        <f>SUMPRODUCT(($U$14:$U$43)*(ISNUMBER(FIND("Ft",$A$14:$A$43))))+SUMPRODUCT((($U$14:$U$43)*1)*(WEEKDAY($B$14:$B$43,2)=7))-SUMPRODUCT((($U$14:$U$43)*1)*(WEEKDAY($B$14:$B$43,2)=7)*(ISNUMBER(FIND("Ft",$A$14:$A$43))))</f>
        <v>0</v>
      </c>
      <c r="V51" s="119">
        <f>SUMPRODUCT(($V$14:$V$43)*(ISNUMBER(FIND("Ft",$A$14:$A$43))))+SUMPRODUCT((($V$14:$V$43)*1)*(WEEKDAY($B$14:$B$43,2)=7))-SUMPRODUCT((($V$14:$V$43)*1)*(WEEKDAY($B$14:$B$43,2)=7)*(ISNUMBER(FIND("Ft",$A$14:$A$43))))</f>
        <v>0</v>
      </c>
      <c r="W51" s="119">
        <f>SUM($W$14:$W$43)</f>
        <v>0</v>
      </c>
      <c r="X51" s="255"/>
      <c r="Y51" s="256"/>
      <c r="Z51" s="278" t="s">
        <v>398</v>
      </c>
      <c r="AA51" s="214">
        <f>SUMPRODUCT(($AA$14:$AA$43)*(ISNUMBER(FIND("Ft",$A$14:$A$43))))+SUMPRODUCT((($AA$14:$AA$43)*1)*(WEEKDAY($B$14:$B$43,2)=7))-SUMPRODUCT((($AA$14:$AA$43)*1)*(WEEKDAY($B$14:$B$43,2)=7)*(ISNUMBER(FIND("Ft",$A$14:$A$43))))</f>
        <v>0</v>
      </c>
      <c r="AB51" s="214">
        <f>SUMPRODUCT(($AB$14:$AB$43)*(ISNUMBER(FIND("Ft",$A$14:$A$43))))+SUMPRODUCT((($AB$14:$AB$43)*1)*(WEEKDAY($B$14:$B$43,2)=7))-SUMPRODUCT((($AB$14:$AB$43)*1)*(WEEKDAY($B$14:$B$43,2)=7)*(ISNUMBER(FIND("Ft",$A$14:$A$43))))</f>
        <v>0</v>
      </c>
      <c r="AC51" s="214">
        <f>SUM($AC$14:$AC$43)</f>
        <v>0</v>
      </c>
      <c r="AD51" s="214">
        <f>SUM($AD$14:$AD$43)</f>
        <v>0</v>
      </c>
      <c r="AE51" s="217"/>
      <c r="AF51" s="188"/>
      <c r="AG51" s="278" t="s">
        <v>398</v>
      </c>
      <c r="AH51" s="214">
        <f>SUMPRODUCT(($AH$14:$AH$43)*(ISNUMBER(FIND("Ft",$A$14:$A$43))))+SUMPRODUCT((($AH$14:$AH$43)*1)*(WEEKDAY($B$14:$B$43,2)=7))-SUMPRODUCT((($AH$14:$AH$43)*1)*(WEEKDAY($B$14:$B$43,2)=7)*(ISNUMBER(FIND("Ft",$A$14:$A$43))))</f>
        <v>0</v>
      </c>
    </row>
    <row r="52" spans="1:34" s="89" customFormat="1" ht="13" customHeight="1">
      <c r="A52" s="227"/>
      <c r="B52" s="355">
        <f>COUNTIF($D$14:$E$43,"ZA")-COUNTIFS($D$14:$D$43,"ZA",$E$14:$E$43,"K")-COUNTIFS($D$14:$D$43,"ZA",$E$14:$E$43,"PK")</f>
        <v>0</v>
      </c>
      <c r="C52" s="454" t="s">
        <v>21</v>
      </c>
      <c r="D52" s="457">
        <f>SUMIFS($P$14:$P$43,$D$14:$D$43,"ZA")+SUMIFS($P$14:$P$43,$E$14:$E$43,"ZA")-$J$44</f>
        <v>0</v>
      </c>
      <c r="E52" s="458">
        <f>IF($P$47="Freizeit",SUM($N$44*1.5,$O$44*2),0)+$J$54*1.5</f>
        <v>0</v>
      </c>
      <c r="F52" s="272"/>
      <c r="G52" s="323" t="str">
        <f>"9545 Nachtdienstpauschale Gesamt ("&amp;""&amp;Gehalt!$K$25&amp;""&amp;"€/h)"</f>
        <v>9545 Nachtdienstpauschale Gesamt (29,44€/h)</v>
      </c>
      <c r="H52" s="151"/>
      <c r="I52" s="151"/>
      <c r="J52" s="151"/>
      <c r="K52" s="264">
        <f>SUM($AF$14:$AG$43)</f>
        <v>0</v>
      </c>
      <c r="L52" s="226">
        <f>$K$52*Gehalt!$K$25</f>
        <v>0</v>
      </c>
      <c r="N52" s="540" t="s">
        <v>237</v>
      </c>
      <c r="O52" s="541"/>
      <c r="P52" s="352">
        <f>VLOOKUP($B$8,Datenblatt!$A$100:$I$112,2,FALSE)</f>
        <v>30</v>
      </c>
      <c r="T52" s="279" t="s">
        <v>104</v>
      </c>
      <c r="U52" s="269">
        <f>SUM($U$14:$U$43)-$U$51</f>
        <v>0</v>
      </c>
      <c r="V52" s="269">
        <f>SUM($V$14:$V$43)-$V$51</f>
        <v>0</v>
      </c>
      <c r="W52" s="257"/>
      <c r="X52" s="265"/>
      <c r="Y52" s="256"/>
      <c r="Z52" s="280" t="s">
        <v>104</v>
      </c>
      <c r="AA52" s="214">
        <f>SUM($AA$14:$AA$43)-$AA$51</f>
        <v>0</v>
      </c>
      <c r="AB52" s="214">
        <f>SUM($AB$14:$AB$43)-$AB$51</f>
        <v>0</v>
      </c>
      <c r="AC52" s="260"/>
      <c r="AD52" s="261"/>
      <c r="AE52" s="217"/>
      <c r="AF52" s="188"/>
      <c r="AG52" s="280" t="s">
        <v>104</v>
      </c>
      <c r="AH52" s="214">
        <f>SUM($AH$14:$AH$43)-$AH$51</f>
        <v>0</v>
      </c>
    </row>
    <row r="53" spans="1:34" s="89" customFormat="1" ht="13" customHeight="1">
      <c r="A53" s="227"/>
      <c r="B53" s="355">
        <f>COUNTIF($D$14:$E$43,"RG")-COUNTIFS($D$14:$D$43,"U",$E$14:$E$43,"RG")-COUNTIFS($D$14:$D$43,"RG",$E$14:$E$43,"PK")</f>
        <v>0</v>
      </c>
      <c r="C53" s="359" t="s">
        <v>132</v>
      </c>
      <c r="D53" s="455">
        <f>SUMIFS($P$14:$P$43,$D$14:$D$43,"RG")+SUMIFS($P$14:$P$43,$E$14:$E$43,"RG")</f>
        <v>0</v>
      </c>
      <c r="E53" s="459">
        <f>$Q$46</f>
        <v>0</v>
      </c>
      <c r="G53" s="323" t="str">
        <f>"9547 Sonn- und Feiertagszulage ("&amp;""&amp;Gehalt!$K$26&amp;""&amp;"€/h)"</f>
        <v>9547 Sonn- und Feiertagszulage (18,5€/h)</v>
      </c>
      <c r="H53" s="151"/>
      <c r="I53" s="151"/>
      <c r="J53" s="151"/>
      <c r="K53" s="22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26">
        <f>$K$53*Gehalt!$K$26</f>
        <v>0</v>
      </c>
      <c r="N53" s="540" t="s">
        <v>238</v>
      </c>
      <c r="O53" s="541"/>
      <c r="P53" s="352">
        <f>VLOOKUP($B$8,Datenblatt!$A$100:$I$112,3,FALSE)</f>
        <v>0</v>
      </c>
      <c r="T53" s="277" t="s">
        <v>399</v>
      </c>
      <c r="U53" s="112">
        <f>SUMPRODUCT(($U$14:$U$43)*(ISNUMBER(FIND("Ft",$A$14:$A$43))))+SUMPRODUCT((($U$14:$U$43)*1)*(WEEKDAY($B$14:$B$43,2)=7))-SUMPRODUCT((($U$14:$U$43)*1)*(WEEKDAY($B$14:$B$43,2)=7)*(ISNUMBER(FIND("Ft",$A$14:$A$43))))</f>
        <v>0</v>
      </c>
      <c r="V53" s="112">
        <f>SUMPRODUCT(($V$14:$V$43)*(ISNUMBER(FIND("Ft",$A$14:$A$43))))+SUMPRODUCT((($V$14:$V$43)*1)*(WEEKDAY($B$14:$B$43,2)=7))-SUMPRODUCT((($V$14:$V$43)*1)*(WEEKDAY($B$14:$B$43,2)=7)*(ISNUMBER(FIND("Ft",$A$14:$A$43))))+IF(SUMIFS($V$14:$V$43,$A$14:$A$43,"HFt")&gt;8,8,(SUMIFS($V$14:$V$43,$A$14:$A$43,"HFt")))</f>
        <v>0</v>
      </c>
      <c r="W53" s="270"/>
      <c r="X53" s="112">
        <f>SUMPRODUCT(($X$14:$X$43)*(ISNUMBER(FIND("Ft",$A$14:$A$43))))+SUMPRODUCT((($X$14:$X$43)*1)*(WEEKDAY($B$14:$B$43,2)=7))-SUMPRODUCT((($X$14:$X$43)*1)*(WEEKDAY($B$14:$B$43,2)=7)*(ISNUMBER(FIND("Ft",$A$14:$A$43))))+IF(SUMIFS($X$14:$X$43,$A$14:$A$43,"HFt")&gt;2,2,(SUMIFS($X$14:$X$43,$A$14:$A$43,"HFt")))</f>
        <v>0</v>
      </c>
      <c r="Y53" s="112">
        <f>SUMPRODUCT(($Y$14:$Y$43)*(ISNUMBER(FIND("Ft",$A$14:$A$43))))+SUMPRODUCT((($Y$14:$Y$43)*1)*(WEEKDAY($B$14:$B$43,2)=7))-SUMPRODUCT((($Y$14:$Y$43)*1)*(WEEKDAY($B$14:$B$43,2)=7)*(ISNUMBER(FIND("Ft",$A$14:$A$43))))</f>
        <v>0</v>
      </c>
      <c r="Z53" s="258"/>
      <c r="AA53" s="258"/>
      <c r="AB53" s="258"/>
      <c r="AC53" s="259"/>
      <c r="AD53" s="259"/>
      <c r="AE53" s="188"/>
      <c r="AF53" s="188"/>
      <c r="AG53" s="188"/>
      <c r="AH53" s="302"/>
    </row>
    <row r="54" spans="1:34" s="89" customFormat="1" ht="13" customHeight="1">
      <c r="A54" s="227"/>
      <c r="B54" s="355">
        <f>COUNTIF($D$14:$E$43,"NDG")-COUNTIFS($D$14:$D$43,"NDG",$E$14:$E$43,"K")-COUNTIFS($D$14:$D$43,"NDG",$E$14:$E$43,"PK")</f>
        <v>0</v>
      </c>
      <c r="C54" s="359" t="s">
        <v>131</v>
      </c>
      <c r="D54" s="455">
        <f>SUMIFS($P$14:$P$43,$D$14:$D$43,"NDG")+SUMIFS($P$14:$P$43,$E$14:$E$43,"NDG")</f>
        <v>0</v>
      </c>
      <c r="E54" s="459">
        <f>$N$6*2-COUNTIFS($D$14:$D$43,"ND",$E$14:$E$43,"K")*2-COUNTIFS($D$14:$D$43,"ND12,5",$E$14:$E$43,"K")*2-COUNTIFS($D$14:$D$43,"ND",$E$13:$E$42,"ND")*2-COUNTIFS($D$14:$D$43,"ND12,5",$E$13:$E$42,"ND")*2-COUNTIFS($D$14:$D$43,"ND",$E$13:$E$42,"ND12,5")*2</f>
        <v>0</v>
      </c>
      <c r="G54" s="609" t="s">
        <v>295</v>
      </c>
      <c r="H54" s="610"/>
      <c r="I54" s="611"/>
      <c r="J54" s="390">
        <v>0</v>
      </c>
      <c r="K54" s="225">
        <f>IF($P$47="finanziell",SUM($L$62),0)+$L$66+$L$70-$J$54</f>
        <v>0</v>
      </c>
      <c r="L54" s="226">
        <f>$K$54*$L$60</f>
        <v>0</v>
      </c>
      <c r="M54" s="56"/>
      <c r="N54" s="540" t="s">
        <v>239</v>
      </c>
      <c r="O54" s="541"/>
      <c r="P54" s="352">
        <f>VLOOKUP($B$8,Datenblatt!$A$100:$I$112,4,FALSE)</f>
        <v>9</v>
      </c>
      <c r="Q54" s="56"/>
      <c r="T54" s="242"/>
      <c r="U54" s="242"/>
      <c r="V54" s="242"/>
      <c r="W54" s="188"/>
      <c r="X54" s="188"/>
      <c r="Y54" s="188"/>
      <c r="Z54" s="242"/>
      <c r="AA54" s="242"/>
      <c r="AB54" s="242"/>
      <c r="AC54" s="188"/>
      <c r="AD54" s="188"/>
      <c r="AE54" s="188"/>
      <c r="AF54" s="188"/>
      <c r="AG54" s="188"/>
      <c r="AH54" s="302"/>
    </row>
    <row r="55" spans="1:34" s="89" customFormat="1" ht="13" customHeight="1">
      <c r="A55" s="227"/>
      <c r="B55" s="460"/>
      <c r="C55" s="359" t="s">
        <v>170</v>
      </c>
      <c r="D55" s="455">
        <f>SUMIFS($M$14:$M$43,$D$14:$D$43,"U")</f>
        <v>0</v>
      </c>
      <c r="E55" s="456"/>
      <c r="G55" s="323" t="s">
        <v>227</v>
      </c>
      <c r="H55" s="151"/>
      <c r="I55" s="151"/>
      <c r="J55" s="151"/>
      <c r="K55" s="225">
        <f>IF($P$47="finanziell",SUM($L$63),0)+$L$71+$L$67</f>
        <v>0</v>
      </c>
      <c r="L55" s="226">
        <f>$K$55*$L$61</f>
        <v>0</v>
      </c>
      <c r="M55" s="59"/>
      <c r="N55" s="540" t="s">
        <v>240</v>
      </c>
      <c r="O55" s="541"/>
      <c r="P55" s="352">
        <f>VLOOKUP($B$8,Datenblatt!$A$100:$I$112,5,FALSE)</f>
        <v>21</v>
      </c>
      <c r="T55" s="242"/>
      <c r="U55" s="242"/>
      <c r="V55" s="242"/>
      <c r="W55" s="188"/>
      <c r="X55" s="188"/>
      <c r="Y55" s="188"/>
      <c r="Z55" s="242"/>
      <c r="AA55" s="242"/>
      <c r="AB55" s="242"/>
      <c r="AC55" s="188"/>
      <c r="AD55" s="188"/>
      <c r="AE55" s="188"/>
      <c r="AF55" s="188"/>
      <c r="AG55" s="188"/>
      <c r="AH55" s="302"/>
    </row>
    <row r="56" spans="1:34" s="89" customFormat="1" ht="13" customHeight="1">
      <c r="A56" s="227"/>
      <c r="B56" s="355">
        <f>COUNTIF($D$14:$E$43,"SU")-COUNTIFS($D$14:$D$43,"SU",$E$14:$E$43,"K")-COUNTIFS($D$14:$D$43,"SU",$E$14:$E$43,"PK")</f>
        <v>0</v>
      </c>
      <c r="C56" s="359" t="s">
        <v>172</v>
      </c>
      <c r="D56" s="455">
        <f>SUMIFS($M$14:$M$43,$D$14:$D$43,"SU")</f>
        <v>0</v>
      </c>
      <c r="E56" s="456"/>
      <c r="G56" s="323" t="s">
        <v>285</v>
      </c>
      <c r="H56" s="151"/>
      <c r="I56" s="151"/>
      <c r="J56" s="151"/>
      <c r="K56" s="224">
        <f ca="1">IF(August!$P$63-SUM(Start!$E$18:$E$23)*2&lt;=0,0,August!$P$63-SUM(Start!$E$18:$E$23)*2)</f>
        <v>0</v>
      </c>
      <c r="L56" s="226">
        <f ca="1">$K$56*(ROUNDDOWN((($Q$6-35)/173*1),2))</f>
        <v>0</v>
      </c>
      <c r="N56" s="540" t="s">
        <v>241</v>
      </c>
      <c r="O56" s="541"/>
      <c r="P56" s="352">
        <f>VLOOKUP($B$8,Datenblatt!$A$100:$I$112,7,FALSE)</f>
        <v>21</v>
      </c>
      <c r="T56" s="242"/>
      <c r="U56" s="242"/>
      <c r="V56" s="242"/>
      <c r="W56" s="188"/>
      <c r="X56" s="188"/>
      <c r="Y56" s="188"/>
      <c r="Z56" s="242"/>
      <c r="AA56" s="242"/>
      <c r="AB56" s="242"/>
      <c r="AC56" s="188"/>
      <c r="AD56" s="188"/>
      <c r="AE56" s="188"/>
      <c r="AF56" s="188"/>
      <c r="AG56" s="188"/>
      <c r="AH56" s="302"/>
    </row>
    <row r="57" spans="1:34" s="89" customFormat="1" ht="13" customHeight="1">
      <c r="A57" s="227"/>
      <c r="B57" s="355">
        <f>COUNTIF($D$14:$E$43,"PK")</f>
        <v>0</v>
      </c>
      <c r="C57" s="359" t="s">
        <v>171</v>
      </c>
      <c r="D57" s="455">
        <f>SUMIFS($M$14:$M$43,$D$14:$D$43,"PK")</f>
        <v>0</v>
      </c>
      <c r="E57" s="456"/>
      <c r="G57" s="391" t="s">
        <v>297</v>
      </c>
      <c r="H57" s="392"/>
      <c r="I57" s="392"/>
      <c r="J57" s="151"/>
      <c r="K57" s="225">
        <f>IF(OR(Start!$D$8=Gehalt!$K$37,Start!$D$8=Gehalt!$K$39,Start!$D$8=Gehalt!$K$41),SUMIFS($M$14:$M$43,$Q$14:$Q$43,"=Tagdienst*",$E$14:$E$43,"&lt;&gt;*")+SUMIFS($AH$14:$AH$43,$R$14:$R$43,"=Tagdienst*"),0)</f>
        <v>0</v>
      </c>
      <c r="L57" s="226">
        <f>$K$57*Gehalt!$C$28</f>
        <v>0</v>
      </c>
      <c r="N57" s="540" t="s">
        <v>236</v>
      </c>
      <c r="O57" s="541"/>
      <c r="P57" s="352">
        <f>VLOOKUP($B$8,Datenblatt!$A$100:$I$112,6,FALSE)</f>
        <v>168</v>
      </c>
      <c r="T57" s="242"/>
      <c r="U57" s="242"/>
      <c r="V57" s="242"/>
      <c r="W57" s="188"/>
      <c r="X57" s="188"/>
      <c r="Y57" s="188"/>
      <c r="Z57" s="242"/>
      <c r="AA57" s="242"/>
      <c r="AB57" s="242"/>
      <c r="AC57" s="188"/>
      <c r="AD57" s="188"/>
      <c r="AE57" s="188"/>
      <c r="AF57" s="188"/>
      <c r="AG57" s="188"/>
      <c r="AH57" s="302"/>
    </row>
    <row r="58" spans="1:34" s="89" customFormat="1" ht="13" customHeight="1">
      <c r="A58" s="227"/>
      <c r="B58" s="355">
        <f>COUNTIF($D$14:$E$43,"K")+COUNTIF($D$14:$E$43,"KA")</f>
        <v>0</v>
      </c>
      <c r="C58" s="359" t="s">
        <v>418</v>
      </c>
      <c r="D58" s="455">
        <f>SUMIFS($M$14:$M$43,$D$14:$D$43,"K")+SUMIFS($M$14:$M$43,$D$14:$D$43,"KA")</f>
        <v>0</v>
      </c>
      <c r="E58" s="456"/>
      <c r="G58" s="323" t="s">
        <v>296</v>
      </c>
      <c r="H58" s="151"/>
      <c r="I58" s="151"/>
      <c r="J58" s="393" t="s">
        <v>146</v>
      </c>
      <c r="K58" s="225"/>
      <c r="L58" s="226">
        <f>IF($J$58="ja",Gehalt!$C$27*2,0)</f>
        <v>0</v>
      </c>
      <c r="N58" s="618" t="str">
        <f>"Stundenkonto Monatsende"&amp;" "&amp;Start!$B$23</f>
        <v>Stundenkonto Monatsende September</v>
      </c>
      <c r="O58" s="619"/>
      <c r="P58" s="620"/>
      <c r="T58" s="242"/>
      <c r="U58" s="242"/>
      <c r="V58" s="242"/>
      <c r="W58" s="188"/>
      <c r="X58" s="188"/>
      <c r="Y58" s="188"/>
      <c r="Z58" s="242"/>
      <c r="AA58" s="242"/>
      <c r="AB58" s="242"/>
      <c r="AC58" s="188"/>
      <c r="AD58" s="188"/>
      <c r="AE58" s="188"/>
      <c r="AF58" s="188"/>
      <c r="AG58" s="188"/>
      <c r="AH58" s="302"/>
    </row>
    <row r="59" spans="1:34" s="89" customFormat="1" ht="13" customHeight="1" thickBot="1">
      <c r="A59" s="227"/>
      <c r="B59" s="460"/>
      <c r="C59" s="359" t="s">
        <v>19</v>
      </c>
      <c r="D59" s="455">
        <f>COUNTIF($L$14:$L$43,"n.b.")</f>
        <v>0</v>
      </c>
      <c r="E59" s="456"/>
      <c r="G59" s="229" t="s">
        <v>362</v>
      </c>
      <c r="H59" s="230"/>
      <c r="I59" s="230"/>
      <c r="J59" s="230"/>
      <c r="K59" s="338"/>
      <c r="L59" s="228">
        <f ca="1">SUM(L52:L57)*12%</f>
        <v>0</v>
      </c>
      <c r="N59" s="615"/>
      <c r="O59" s="616"/>
      <c r="P59" s="617"/>
      <c r="T59" s="242"/>
      <c r="U59" s="188"/>
      <c r="V59" s="188"/>
      <c r="W59" s="188"/>
      <c r="X59" s="188"/>
      <c r="Y59" s="188"/>
      <c r="Z59" s="242"/>
      <c r="AA59" s="188"/>
      <c r="AB59" s="188"/>
      <c r="AC59" s="188"/>
      <c r="AD59" s="188"/>
      <c r="AE59" s="188"/>
      <c r="AF59" s="188"/>
      <c r="AG59" s="188"/>
      <c r="AH59" s="302"/>
    </row>
    <row r="60" spans="1:34" s="89" customFormat="1" ht="13" customHeight="1">
      <c r="A60" s="227"/>
      <c r="B60" s="355">
        <f>COUNTIF($D$14:$E$43,"DV")</f>
        <v>0</v>
      </c>
      <c r="C60" s="359" t="s">
        <v>111</v>
      </c>
      <c r="D60" s="455">
        <f>SUMIFS($P$14:$P$43,$D$14:$D$43,"DV")+SUMIFS($P$14:$P$43,$E$14:$E$43,"DV")</f>
        <v>0</v>
      </c>
      <c r="E60" s="456"/>
      <c r="G60" s="238" t="s">
        <v>298</v>
      </c>
      <c r="H60" s="239"/>
      <c r="I60" s="240"/>
      <c r="J60" s="240"/>
      <c r="K60" s="240"/>
      <c r="L60" s="241">
        <f>IF($Q$6="",0,ROUNDDOWN((($Q$6-35)/173*1.5),2))</f>
        <v>46.21</v>
      </c>
      <c r="N60" s="540" t="s">
        <v>234</v>
      </c>
      <c r="O60" s="541"/>
      <c r="P60" s="352">
        <f>Start!$C$30+SUM(Jänner:September!$D$51)</f>
        <v>0</v>
      </c>
      <c r="T60" s="244"/>
      <c r="U60" s="188"/>
      <c r="V60" s="188"/>
      <c r="W60" s="188"/>
      <c r="X60" s="188"/>
      <c r="Y60" s="188"/>
      <c r="Z60" s="244"/>
      <c r="AA60" s="188"/>
      <c r="AB60" s="188"/>
      <c r="AC60" s="188"/>
      <c r="AD60" s="188"/>
      <c r="AE60" s="188"/>
      <c r="AF60" s="188"/>
      <c r="AG60" s="188"/>
      <c r="AH60" s="302"/>
    </row>
    <row r="61" spans="1:34" s="89" customFormat="1" ht="13" customHeight="1">
      <c r="A61" s="227"/>
      <c r="B61" s="355">
        <f>COUNTIF($D$14:$E$43,"WR")</f>
        <v>0</v>
      </c>
      <c r="C61" s="359" t="s">
        <v>126</v>
      </c>
      <c r="D61" s="466"/>
      <c r="E61" s="456"/>
      <c r="G61" s="360" t="s">
        <v>400</v>
      </c>
      <c r="H61" s="358"/>
      <c r="I61" s="357"/>
      <c r="J61" s="357"/>
      <c r="K61" s="357"/>
      <c r="L61" s="356">
        <f>IF($Q$6="",0,ROUNDDOWN((($Q$6-35)/173*2),2))</f>
        <v>61.62</v>
      </c>
      <c r="N61" s="540" t="s">
        <v>235</v>
      </c>
      <c r="O61" s="541"/>
      <c r="P61" s="353">
        <f>Start!$C$31+SUM(Jänner:September!$D$52)+SUM(Jänner:September!$E$52)</f>
        <v>0</v>
      </c>
      <c r="T61" s="244"/>
      <c r="U61" s="188"/>
      <c r="V61" s="188"/>
      <c r="W61" s="188"/>
      <c r="X61" s="188"/>
      <c r="Y61" s="188"/>
      <c r="Z61" s="244"/>
      <c r="AA61" s="188"/>
      <c r="AB61" s="188"/>
      <c r="AC61" s="188"/>
      <c r="AD61" s="188"/>
      <c r="AE61" s="188"/>
      <c r="AF61" s="188"/>
      <c r="AG61" s="188"/>
      <c r="AH61" s="302"/>
    </row>
    <row r="62" spans="1:34" s="59" customFormat="1" ht="13" customHeight="1">
      <c r="A62" s="471"/>
      <c r="B62" s="478"/>
      <c r="C62" s="478"/>
      <c r="D62" s="478"/>
      <c r="E62" s="478"/>
      <c r="G62" s="374" t="s">
        <v>392</v>
      </c>
      <c r="H62" s="375"/>
      <c r="I62" s="125"/>
      <c r="J62" s="125"/>
      <c r="K62" s="389"/>
      <c r="L62" s="376">
        <f>SUM($N$14:$N$43)</f>
        <v>0</v>
      </c>
      <c r="M62" s="89"/>
      <c r="N62" s="540" t="s">
        <v>148</v>
      </c>
      <c r="O62" s="541"/>
      <c r="P62" s="352">
        <f>Start!$C$32+SUM(Jänner:September!$D$53)+SUM(Jänner:September!$E$53)</f>
        <v>0</v>
      </c>
      <c r="Q62" s="89"/>
      <c r="T62" s="244"/>
      <c r="U62" s="242"/>
      <c r="V62" s="242"/>
      <c r="W62" s="242"/>
      <c r="X62" s="242"/>
      <c r="Y62" s="242"/>
      <c r="Z62" s="244"/>
      <c r="AA62" s="242"/>
      <c r="AB62" s="242"/>
      <c r="AC62" s="242"/>
      <c r="AD62" s="242"/>
      <c r="AE62" s="242"/>
      <c r="AF62" s="242"/>
      <c r="AG62" s="242"/>
      <c r="AH62" s="302"/>
    </row>
    <row r="63" spans="1:34" s="59" customFormat="1" ht="13" customHeight="1">
      <c r="A63" s="471"/>
      <c r="G63" s="374" t="s">
        <v>102</v>
      </c>
      <c r="H63" s="375"/>
      <c r="I63" s="125"/>
      <c r="J63" s="125"/>
      <c r="K63" s="125"/>
      <c r="L63" s="376">
        <f>SUM($O$14:$O$43)</f>
        <v>0</v>
      </c>
      <c r="M63" s="89"/>
      <c r="N63" s="544" t="s">
        <v>166</v>
      </c>
      <c r="O63" s="545"/>
      <c r="P63" s="354">
        <f ca="1">Start!$C$33+SUM(Jänner:September!$D$54)+SUM(Jänner:September!$E$54)-SUM(Jänner:September!$K$56)</f>
        <v>0</v>
      </c>
      <c r="Q63" s="89"/>
      <c r="T63" s="244"/>
      <c r="U63" s="242"/>
      <c r="V63" s="242"/>
      <c r="W63" s="242"/>
      <c r="X63" s="242"/>
      <c r="Y63" s="242"/>
      <c r="Z63" s="244"/>
      <c r="AA63" s="242"/>
      <c r="AB63" s="242"/>
      <c r="AC63" s="242"/>
      <c r="AD63" s="242"/>
      <c r="AE63" s="242"/>
      <c r="AF63" s="242"/>
      <c r="AG63" s="242"/>
      <c r="AH63" s="302"/>
    </row>
    <row r="64" spans="1:34" s="59" customFormat="1" ht="13" customHeight="1">
      <c r="A64" s="471"/>
      <c r="E64" s="140"/>
      <c r="G64" s="374" t="s">
        <v>98</v>
      </c>
      <c r="H64" s="375"/>
      <c r="I64" s="125"/>
      <c r="J64" s="125"/>
      <c r="K64" s="125"/>
      <c r="L64" s="377">
        <f>$L$62*$L$60</f>
        <v>0</v>
      </c>
      <c r="M64" s="89"/>
      <c r="N64" s="546" t="str">
        <f>"Bisheriger Verbrauch"&amp;" "&amp;Start!$D$2</f>
        <v>Bisheriger Verbrauch 2024</v>
      </c>
      <c r="O64" s="547"/>
      <c r="P64" s="548"/>
      <c r="Q64" s="89"/>
      <c r="T64" s="244"/>
      <c r="U64" s="242"/>
      <c r="V64" s="242"/>
      <c r="W64" s="242"/>
      <c r="X64" s="242"/>
      <c r="Y64" s="242"/>
      <c r="Z64" s="244"/>
      <c r="AA64" s="242"/>
      <c r="AB64" s="242"/>
      <c r="AC64" s="242"/>
      <c r="AD64" s="242"/>
      <c r="AE64" s="242"/>
      <c r="AF64" s="242"/>
      <c r="AG64" s="242"/>
      <c r="AH64" s="302"/>
    </row>
    <row r="65" spans="1:34" s="59" customFormat="1" ht="13" customHeight="1">
      <c r="A65" s="471"/>
      <c r="E65" s="140"/>
      <c r="G65" s="267" t="s">
        <v>99</v>
      </c>
      <c r="H65" s="268"/>
      <c r="I65" s="378"/>
      <c r="J65" s="378"/>
      <c r="K65" s="378"/>
      <c r="L65" s="379">
        <f>$L$63*$L$61</f>
        <v>0</v>
      </c>
      <c r="M65" s="89"/>
      <c r="N65" s="549"/>
      <c r="O65" s="550"/>
      <c r="P65" s="551"/>
      <c r="Q65" s="89"/>
      <c r="T65" s="244"/>
      <c r="U65" s="242"/>
      <c r="V65" s="242"/>
      <c r="W65" s="242"/>
      <c r="X65" s="242"/>
      <c r="Y65" s="242"/>
      <c r="Z65" s="244"/>
      <c r="AA65" s="242"/>
      <c r="AB65" s="242"/>
      <c r="AC65" s="242"/>
      <c r="AD65" s="242"/>
      <c r="AE65" s="242"/>
      <c r="AF65" s="242"/>
      <c r="AG65" s="242"/>
      <c r="AH65" s="302"/>
    </row>
    <row r="66" spans="1:34" s="59" customFormat="1" ht="13" customHeight="1">
      <c r="A66" s="471"/>
      <c r="E66" s="140"/>
      <c r="G66" s="380" t="s">
        <v>228</v>
      </c>
      <c r="H66" s="381"/>
      <c r="I66" s="382"/>
      <c r="J66" s="382"/>
      <c r="K66" s="382"/>
      <c r="L66" s="376">
        <f>SUM($U$52:$V$52)+$AH$52</f>
        <v>0</v>
      </c>
      <c r="N66" s="533" t="s">
        <v>234</v>
      </c>
      <c r="O66" s="534"/>
      <c r="P66" s="398">
        <f>SUM(Jänner:September!$D$51)</f>
        <v>0</v>
      </c>
      <c r="T66" s="244"/>
      <c r="U66" s="242"/>
      <c r="V66" s="242"/>
      <c r="W66" s="242"/>
      <c r="X66" s="242"/>
      <c r="Y66" s="242"/>
      <c r="Z66" s="244"/>
      <c r="AA66" s="242"/>
      <c r="AB66" s="242"/>
      <c r="AC66" s="242"/>
      <c r="AD66" s="242"/>
      <c r="AE66" s="242"/>
      <c r="AF66" s="242"/>
      <c r="AG66" s="242"/>
      <c r="AH66" s="302"/>
    </row>
    <row r="67" spans="1:34" s="59" customFormat="1" ht="13" customHeight="1">
      <c r="A67" s="471"/>
      <c r="D67" s="140"/>
      <c r="E67" s="140"/>
      <c r="G67" s="380" t="s">
        <v>103</v>
      </c>
      <c r="H67" s="381"/>
      <c r="I67" s="382"/>
      <c r="J67" s="382"/>
      <c r="K67" s="382"/>
      <c r="L67" s="376">
        <f>SUM($U$51:$W$51)+$AH$51</f>
        <v>0</v>
      </c>
      <c r="N67" s="533" t="s">
        <v>235</v>
      </c>
      <c r="O67" s="534"/>
      <c r="P67" s="398">
        <f>SUM(Jänner:September!$D$52)</f>
        <v>0</v>
      </c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42"/>
      <c r="AG67" s="242"/>
      <c r="AH67" s="302"/>
    </row>
    <row r="68" spans="1:34" s="59" customFormat="1" ht="13" customHeight="1">
      <c r="A68" s="471"/>
      <c r="D68" s="140"/>
      <c r="E68" s="140"/>
      <c r="G68" s="121" t="s">
        <v>100</v>
      </c>
      <c r="H68" s="122"/>
      <c r="I68" s="125"/>
      <c r="J68" s="125"/>
      <c r="K68" s="125"/>
      <c r="L68" s="377">
        <f>$L$66*$L$60</f>
        <v>0</v>
      </c>
      <c r="N68" s="533" t="s">
        <v>148</v>
      </c>
      <c r="O68" s="534"/>
      <c r="P68" s="398">
        <f>SUM(Jänner:September!$D$53)</f>
        <v>0</v>
      </c>
      <c r="T68" s="242"/>
      <c r="U68" s="242"/>
      <c r="V68" s="242"/>
      <c r="W68" s="242"/>
      <c r="X68" s="242"/>
      <c r="Y68" s="242"/>
      <c r="Z68" s="242"/>
      <c r="AA68" s="242"/>
      <c r="AB68" s="242"/>
      <c r="AC68" s="242"/>
      <c r="AD68" s="242"/>
      <c r="AE68" s="242"/>
      <c r="AF68" s="242"/>
      <c r="AG68" s="242"/>
      <c r="AH68" s="302"/>
    </row>
    <row r="69" spans="1:34" s="59" customFormat="1" ht="13" customHeight="1">
      <c r="A69" s="471"/>
      <c r="D69" s="140"/>
      <c r="E69" s="140"/>
      <c r="G69" s="383" t="s">
        <v>101</v>
      </c>
      <c r="H69" s="384"/>
      <c r="I69" s="378"/>
      <c r="J69" s="378"/>
      <c r="K69" s="378"/>
      <c r="L69" s="379">
        <f>$L$67*$L$61</f>
        <v>0</v>
      </c>
      <c r="N69" s="621" t="s">
        <v>166</v>
      </c>
      <c r="O69" s="622"/>
      <c r="P69" s="399">
        <f>SUM(Jänner:September!$D$54)</f>
        <v>0</v>
      </c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302"/>
    </row>
    <row r="70" spans="1:34" s="59" customFormat="1" ht="13" customHeight="1">
      <c r="A70" s="471"/>
      <c r="D70" s="140"/>
      <c r="E70" s="140"/>
      <c r="G70" s="374" t="s">
        <v>393</v>
      </c>
      <c r="H70" s="375"/>
      <c r="I70" s="125"/>
      <c r="J70" s="125"/>
      <c r="K70" s="125"/>
      <c r="L70" s="376">
        <f>SUM($AA$52:$AB$52)</f>
        <v>0</v>
      </c>
      <c r="N70" s="604" t="s">
        <v>389</v>
      </c>
      <c r="O70" s="605"/>
      <c r="P70" s="451">
        <f>SUM(Jänner:September!$B$56)</f>
        <v>0</v>
      </c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302"/>
    </row>
    <row r="71" spans="1:34" s="59" customFormat="1" ht="13" customHeight="1">
      <c r="A71" s="471"/>
      <c r="D71" s="140"/>
      <c r="E71" s="140"/>
      <c r="G71" s="374" t="s">
        <v>356</v>
      </c>
      <c r="H71" s="375"/>
      <c r="I71" s="125"/>
      <c r="J71" s="125"/>
      <c r="K71" s="125"/>
      <c r="L71" s="376">
        <f>SUM($AA$51:$AD$51)</f>
        <v>0</v>
      </c>
      <c r="N71" s="533" t="s">
        <v>390</v>
      </c>
      <c r="O71" s="534"/>
      <c r="P71" s="398">
        <f>SUM(Jänner:September!$B$57)</f>
        <v>0</v>
      </c>
      <c r="T71" s="242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302"/>
    </row>
    <row r="72" spans="1:34" s="59" customFormat="1" ht="13" customHeight="1">
      <c r="A72" s="471"/>
      <c r="D72" s="140"/>
      <c r="E72" s="140"/>
      <c r="G72" s="374" t="s">
        <v>98</v>
      </c>
      <c r="H72" s="375"/>
      <c r="I72" s="125"/>
      <c r="J72" s="125"/>
      <c r="K72" s="125"/>
      <c r="L72" s="377">
        <f>$L$70*$L$60</f>
        <v>0</v>
      </c>
      <c r="N72" s="606" t="s">
        <v>388</v>
      </c>
      <c r="O72" s="607"/>
      <c r="P72" s="450">
        <f>SUM(Jänner:September!$B$58)</f>
        <v>0</v>
      </c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302"/>
    </row>
    <row r="73" spans="1:34" s="59" customFormat="1" ht="13" customHeight="1">
      <c r="A73" s="471"/>
      <c r="D73" s="140"/>
      <c r="E73" s="315"/>
      <c r="G73" s="267" t="s">
        <v>99</v>
      </c>
      <c r="H73" s="268"/>
      <c r="I73" s="378"/>
      <c r="J73" s="378"/>
      <c r="K73" s="378"/>
      <c r="L73" s="379">
        <f>$L$71*$L$61</f>
        <v>0</v>
      </c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302"/>
    </row>
    <row r="74" spans="1:34" s="59" customFormat="1" ht="13" customHeight="1">
      <c r="A74" s="471"/>
      <c r="D74" s="140"/>
      <c r="G74" s="385" t="s">
        <v>288</v>
      </c>
      <c r="H74" s="386"/>
      <c r="I74" s="161"/>
      <c r="J74" s="161"/>
      <c r="K74" s="161"/>
      <c r="L74" s="387">
        <f>VLOOKUP($B$8,Datenblatt!$A$100:$F$112,6,FALSE)-SUM($D$55:$D$58)</f>
        <v>168</v>
      </c>
      <c r="T74" s="242"/>
      <c r="U74" s="242"/>
      <c r="V74" s="242"/>
      <c r="W74" s="242"/>
      <c r="X74" s="242"/>
      <c r="Y74" s="242"/>
      <c r="Z74" s="242"/>
      <c r="AA74" s="242"/>
      <c r="AB74" s="242"/>
      <c r="AC74" s="242"/>
      <c r="AD74" s="242"/>
      <c r="AE74" s="242"/>
      <c r="AF74" s="242"/>
      <c r="AG74" s="242"/>
      <c r="AH74" s="302"/>
    </row>
    <row r="75" spans="1:34" s="59" customFormat="1" ht="13" customHeight="1">
      <c r="A75" s="471"/>
      <c r="D75" s="140"/>
      <c r="T75" s="242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242"/>
      <c r="AF75" s="242"/>
      <c r="AG75" s="242"/>
      <c r="AH75" s="302"/>
    </row>
    <row r="76" spans="1:34" s="59" customFormat="1" ht="13" customHeight="1">
      <c r="A76" s="471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302"/>
    </row>
    <row r="77" spans="1:34" s="59" customFormat="1" ht="13" customHeight="1">
      <c r="A77" s="471"/>
      <c r="C77" s="164" t="s">
        <v>243</v>
      </c>
      <c r="D77" s="165"/>
      <c r="E77" s="166"/>
      <c r="F77" s="166"/>
      <c r="G77" s="166"/>
      <c r="H77" s="167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302"/>
    </row>
    <row r="78" spans="1:34" s="59" customFormat="1" ht="13" customHeight="1">
      <c r="A78" s="471"/>
      <c r="C78" s="121" t="s">
        <v>92</v>
      </c>
      <c r="D78" s="122"/>
      <c r="E78" s="123"/>
      <c r="F78" s="123"/>
      <c r="G78" s="123"/>
      <c r="H78" s="124">
        <f>SUMPRODUCT((WEEKDAY($B$13:$B$42,2)=6)*($D$13:$D$42="ND"))-SUMPRODUCT((WEEKDAY($B$13:$B$42,2)=6)*($D$13:$D$42="ND")*($A$13:$A$42="Ft"))</f>
        <v>0</v>
      </c>
      <c r="R78" s="120"/>
      <c r="S78" s="120"/>
      <c r="T78" s="242"/>
      <c r="U78" s="242"/>
      <c r="V78" s="242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  <c r="AH78" s="302"/>
    </row>
    <row r="79" spans="1:34" s="59" customFormat="1" ht="13" customHeight="1">
      <c r="A79" s="471"/>
      <c r="C79" s="121" t="s">
        <v>93</v>
      </c>
      <c r="D79" s="122"/>
      <c r="E79" s="123"/>
      <c r="F79" s="123"/>
      <c r="G79" s="123"/>
      <c r="H79" s="124">
        <f>SUMPRODUCT((WEEKDAY($B$14:$B$43,2)=7)*($D$14:$D$43="ND"))-SUMPRODUCT((WEEKDAY($B$14:$B$43,2)=7)*($D$14:$D$43="ND")*($A$14:$A$43="Ft"))</f>
        <v>0</v>
      </c>
      <c r="R79" s="120"/>
      <c r="S79" s="120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  <c r="AH79" s="302"/>
    </row>
    <row r="80" spans="1:34" s="59" customFormat="1" ht="13" customHeight="1">
      <c r="A80" s="471"/>
      <c r="C80" s="121" t="s">
        <v>94</v>
      </c>
      <c r="D80" s="122"/>
      <c r="E80" s="123"/>
      <c r="F80" s="123"/>
      <c r="G80" s="123"/>
      <c r="H80" s="124">
        <f>SUMPRODUCT(($D$14:$D$43="ND")*($A$14:$A$43="Ft"))</f>
        <v>0</v>
      </c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42"/>
      <c r="AG80" s="242"/>
      <c r="AH80" s="302"/>
    </row>
    <row r="81" spans="1:34" s="59" customFormat="1" ht="13" customHeight="1">
      <c r="A81" s="471"/>
      <c r="C81" s="121" t="s">
        <v>95</v>
      </c>
      <c r="D81" s="122"/>
      <c r="E81" s="125"/>
      <c r="F81" s="125"/>
      <c r="G81" s="125"/>
      <c r="H81" s="124">
        <f>SUMPRODUCT((WEEKDAY($C$13:$C$42,2)=7)*($D$13:$D$42="ND")*($A$14:$A$43="Ft"))-SUMPRODUCT((WEEKDAY($C$13:$C$42,2)=7)*($D$13:$D$42="ND")*($A$13:$A$42="Ft")*($A$14:$A$43="Ft"))</f>
        <v>0</v>
      </c>
      <c r="T81" s="242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  <c r="AH81" s="302"/>
    </row>
    <row r="82" spans="1:34" s="59" customFormat="1" ht="13" customHeight="1">
      <c r="A82" s="471"/>
      <c r="C82" s="121" t="s">
        <v>96</v>
      </c>
      <c r="D82" s="122"/>
      <c r="E82" s="125"/>
      <c r="F82" s="125"/>
      <c r="G82" s="125"/>
      <c r="H82" s="124">
        <f>SUMPRODUCT(($A$13:$A$42="Ft")*($D$13:$D$42="ND")*($A$14:$A$43="Ft"))</f>
        <v>0</v>
      </c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42"/>
      <c r="AG82" s="242"/>
      <c r="AH82" s="302"/>
    </row>
    <row r="83" spans="1:34" s="59" customFormat="1" ht="13" customHeight="1">
      <c r="A83" s="471"/>
      <c r="C83" s="121" t="s">
        <v>97</v>
      </c>
      <c r="D83" s="122"/>
      <c r="E83" s="125"/>
      <c r="F83" s="122"/>
      <c r="G83" s="122"/>
      <c r="H83" s="124">
        <f>SUMPRODUCT(($A$13:$A$42="Ft")*(WEEKDAY($C$14:$C$43,2)=7)*($D$13:$D$42="ND"))-SUMPRODUCT(($A$13:$A$42="Ft")*($A$14:$A$43="Ft")*(WEEKDAY($C$14:$C$43,2)=7)*($D$13:$D$42="ND"))</f>
        <v>0</v>
      </c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302"/>
    </row>
    <row r="84" spans="1:34" s="59" customFormat="1" ht="13" customHeight="1">
      <c r="A84" s="471"/>
      <c r="C84" s="126" t="s">
        <v>152</v>
      </c>
      <c r="D84" s="127"/>
      <c r="E84" s="161"/>
      <c r="F84" s="127"/>
      <c r="G84" s="127"/>
      <c r="H84" s="199">
        <f>SUMPRODUCT(($A$14:$A$43="Ft")*(WEEKDAY($C$13:$C$42,2)&lt;6)*($D$13:$D$42="ND"))-(SUMPRODUCT(($A$14:$A$43="Ft")*($A$13:$A$42="Ft")*(WEEKDAY($C$13:$C$42,2)&lt;6)*($D$13:$D$42="ND")))</f>
        <v>0</v>
      </c>
      <c r="T84" s="242"/>
      <c r="U84" s="242"/>
      <c r="V84" s="242"/>
      <c r="W84" s="242"/>
      <c r="X84" s="242"/>
      <c r="Y84" s="242"/>
      <c r="Z84" s="242"/>
      <c r="AA84" s="242"/>
      <c r="AB84" s="242"/>
      <c r="AC84" s="242"/>
      <c r="AD84" s="242"/>
      <c r="AE84" s="242"/>
      <c r="AF84" s="242"/>
      <c r="AG84" s="242"/>
      <c r="AH84" s="302"/>
    </row>
    <row r="85" spans="1:34" s="59" customFormat="1" ht="13" customHeight="1">
      <c r="A85" s="471"/>
      <c r="C85" s="164" t="s">
        <v>244</v>
      </c>
      <c r="D85" s="165"/>
      <c r="E85" s="166"/>
      <c r="F85" s="166"/>
      <c r="G85" s="166"/>
      <c r="H85" s="167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242"/>
      <c r="AF85" s="242"/>
      <c r="AG85" s="242"/>
      <c r="AH85" s="302"/>
    </row>
    <row r="86" spans="1:34" s="59" customFormat="1" ht="13" customHeight="1">
      <c r="A86" s="471"/>
      <c r="C86" s="267" t="s">
        <v>401</v>
      </c>
      <c r="D86" s="268"/>
      <c r="E86" s="268"/>
      <c r="F86" s="268"/>
      <c r="G86" s="268"/>
      <c r="H86" s="163"/>
      <c r="T86" s="242"/>
      <c r="U86" s="242"/>
      <c r="V86" s="242"/>
      <c r="W86" s="242"/>
      <c r="X86" s="242"/>
      <c r="Y86" s="242"/>
      <c r="Z86" s="242"/>
      <c r="AA86" s="242"/>
      <c r="AB86" s="242"/>
      <c r="AC86" s="242"/>
      <c r="AD86" s="242"/>
      <c r="AE86" s="242"/>
      <c r="AF86" s="242"/>
      <c r="AG86" s="242"/>
      <c r="AH86" s="302"/>
    </row>
    <row r="87" spans="1:34" s="59" customFormat="1" ht="13" customHeight="1">
      <c r="A87" s="471"/>
      <c r="C87" s="121" t="s">
        <v>16</v>
      </c>
      <c r="D87" s="122"/>
      <c r="E87" s="122"/>
      <c r="F87" s="122"/>
      <c r="G87" s="122"/>
      <c r="H87" s="124">
        <f>SUMPRODUCT((WEEKDAY($B$14:$B$43,2)=7)*($D$14:$D$43="TD"))+SUMPRODUCT(($D$14:$D$43="TD")*($A$14:$A$43="Ft"))-SUMPRODUCT((WEEKDAY($B$14:$B$43,2)=7)*($D$14:$D$43="TD")*($A$14:$A$43="Ft"))</f>
        <v>0</v>
      </c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  <c r="AH87" s="302"/>
    </row>
    <row r="88" spans="1:34" s="59" customFormat="1" ht="13" customHeight="1">
      <c r="A88" s="471"/>
      <c r="C88" s="121" t="s">
        <v>225</v>
      </c>
      <c r="D88" s="122"/>
      <c r="E88" s="122"/>
      <c r="F88" s="122"/>
      <c r="G88" s="122"/>
      <c r="H88" s="124">
        <f>SUMPRODUCT((WEEKDAY($B$14:$B$43,2)=7)*($D$14:$D$43="TD5,5"))+SUMPRODUCT(($D$14:$D$43="TD5,5")*($A$14:$A$43="Ft"))-SUMPRODUCT((WEEKDAY($B$14:$B$43,2)=7)*($D$14:$D$43="TD5,5")*($A$14:$A$43="Ft"))</f>
        <v>0</v>
      </c>
      <c r="T88" s="242"/>
      <c r="U88" s="242"/>
      <c r="V88" s="242"/>
      <c r="W88" s="242"/>
      <c r="X88" s="242"/>
      <c r="Y88" s="242"/>
      <c r="Z88" s="242"/>
      <c r="AA88" s="242"/>
      <c r="AB88" s="242"/>
      <c r="AC88" s="242"/>
      <c r="AD88" s="242"/>
      <c r="AE88" s="242"/>
      <c r="AF88" s="242"/>
      <c r="AG88" s="242"/>
      <c r="AH88" s="302"/>
    </row>
    <row r="89" spans="1:34" s="59" customFormat="1" ht="13" customHeight="1">
      <c r="A89" s="471"/>
      <c r="C89" s="121" t="s">
        <v>88</v>
      </c>
      <c r="D89" s="122"/>
      <c r="E89" s="122"/>
      <c r="F89" s="122"/>
      <c r="G89" s="122"/>
      <c r="H89" s="124">
        <f>SUMPRODUCT((WEEKDAY($B$14:$B$43,2)=7)*($D$14:$D$43="TD6"))+SUMPRODUCT(($D$14:$D$43="TD6")*($A$14:$A$43="Ft"))-SUMPRODUCT((WEEKDAY($B$14:$B$43,2)=7)*($D$14:$D$43="TD6")*($A$14:$A$43="Ft"))</f>
        <v>0</v>
      </c>
      <c r="T89" s="242"/>
      <c r="U89" s="242"/>
      <c r="V89" s="242"/>
      <c r="W89" s="242"/>
      <c r="X89" s="242"/>
      <c r="Y89" s="242"/>
      <c r="Z89" s="242"/>
      <c r="AA89" s="242"/>
      <c r="AB89" s="242"/>
      <c r="AC89" s="242"/>
      <c r="AD89" s="242"/>
      <c r="AE89" s="242"/>
      <c r="AF89" s="242"/>
      <c r="AG89" s="242"/>
      <c r="AH89" s="302"/>
    </row>
    <row r="90" spans="1:34" s="59" customFormat="1" ht="13" customHeight="1">
      <c r="A90" s="471"/>
      <c r="C90" s="121" t="s">
        <v>184</v>
      </c>
      <c r="D90" s="122"/>
      <c r="E90" s="122"/>
      <c r="F90" s="122"/>
      <c r="G90" s="122"/>
      <c r="H90" s="124">
        <f>SUMPRODUCT((WEEKDAY($B$14:$B$43,2)=7)*($D$14:$D$43="TD6,25"))+SUMPRODUCT(($D$14:$D$43="TD6,25")*($A$14:$A$43="Ft"))-SUMPRODUCT((WEEKDAY($B$14:$B$43,2)=7)*($D$14:$D$43="TD6,25")*($A$14:$A$43="Ft"))</f>
        <v>0</v>
      </c>
      <c r="T90" s="242"/>
      <c r="U90" s="242"/>
      <c r="V90" s="242"/>
      <c r="W90" s="242"/>
      <c r="X90" s="242"/>
      <c r="Y90" s="242"/>
      <c r="Z90" s="242"/>
      <c r="AA90" s="242"/>
      <c r="AB90" s="242"/>
      <c r="AC90" s="242"/>
      <c r="AD90" s="242"/>
      <c r="AE90" s="242"/>
      <c r="AF90" s="242"/>
      <c r="AG90" s="242"/>
      <c r="AH90" s="302"/>
    </row>
    <row r="91" spans="1:34" s="59" customFormat="1" ht="13" customHeight="1">
      <c r="A91" s="471"/>
      <c r="C91" s="121" t="s">
        <v>209</v>
      </c>
      <c r="D91" s="122"/>
      <c r="E91" s="122"/>
      <c r="F91" s="122"/>
      <c r="G91" s="122"/>
      <c r="H91" s="124">
        <f>SUMPRODUCT((WEEKDAY($B$14:$B$43,2)=7)*($D$14:$D$43="TD6,5"))+SUMPRODUCT(($D$14:$D$43="TD6,5")*($A$14:$A$43="Ft"))-SUMPRODUCT((WEEKDAY($B$14:$B$43,2)=7)*($D$14:$D$43="TD6,5")*($A$14:$A$43="Ft"))</f>
        <v>0</v>
      </c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302"/>
    </row>
    <row r="92" spans="1:34" s="59" customFormat="1" ht="13" customHeight="1">
      <c r="A92" s="471"/>
      <c r="C92" s="121" t="s">
        <v>86</v>
      </c>
      <c r="D92" s="122"/>
      <c r="E92" s="122"/>
      <c r="F92" s="122"/>
      <c r="G92" s="122"/>
      <c r="H92" s="124">
        <f>SUMPRODUCT((WEEKDAY($B$14:$B$43,2)=7)*($D$14:$D$43="TD7"))+SUMPRODUCT(($D$14:$D$43="TD7")*($A$14:$A$43="Ft"))-SUMPRODUCT((WEEKDAY($B$14:$B$43,2)=7)*($D$14:$D$43="TD7")*($A$14:$A$43="Ft"))</f>
        <v>0</v>
      </c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302"/>
    </row>
    <row r="93" spans="1:34" s="59" customFormat="1" ht="13" customHeight="1">
      <c r="A93" s="471"/>
      <c r="C93" s="121" t="s">
        <v>213</v>
      </c>
      <c r="D93" s="122"/>
      <c r="E93" s="122"/>
      <c r="F93" s="122"/>
      <c r="G93" s="122"/>
      <c r="H93" s="124">
        <f>SUMPRODUCT((WEEKDAY($B$14:$B$43,2)=7)*($D$14:$D$43="TD7,5"))+SUMPRODUCT(($D$14:$D$43="TD7,5")*($A$14:$A$43="Ft"))-SUMPRODUCT((WEEKDAY($B$14:$B$43,2)=7)*($D$14:$D$43="TD7,5")*($A$14:$A$43="Ft"))</f>
        <v>0</v>
      </c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302"/>
    </row>
    <row r="94" spans="1:34" s="59" customFormat="1" ht="13" customHeight="1">
      <c r="A94" s="471"/>
      <c r="C94" s="121" t="s">
        <v>71</v>
      </c>
      <c r="D94" s="122"/>
      <c r="E94" s="122"/>
      <c r="F94" s="122"/>
      <c r="G94" s="122"/>
      <c r="H94" s="124">
        <f>SUMPRODUCT((WEEKDAY($B$14:$B$43,2)=7)*($D$14:$D$43="TD8"))+SUMPRODUCT(($D$14:$D$43="TD8")*($A$14:$A$43="Ft"))-SUMPRODUCT((WEEKDAY($B$14:$B$43,2)=7)*($D$14:$D$43="TD8")*($A$14:$A$43="Ft"))</f>
        <v>0</v>
      </c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42"/>
      <c r="AG94" s="242"/>
      <c r="AH94" s="302"/>
    </row>
    <row r="95" spans="1:34" s="59" customFormat="1" ht="13" customHeight="1">
      <c r="A95" s="471"/>
      <c r="C95" s="121" t="s">
        <v>214</v>
      </c>
      <c r="D95" s="122"/>
      <c r="E95" s="122"/>
      <c r="F95" s="122"/>
      <c r="G95" s="122"/>
      <c r="H95" s="124">
        <f>SUMPRODUCT((WEEKDAY($B$14:$B$43,2)=7)*($D$14:$D$43="TD8,5"))+SUMPRODUCT(($D$14:$D$43="TD8,5")*($A$14:$A$43="Ft"))-SUMPRODUCT((WEEKDAY($B$14:$B$43,2)=7)*($D$14:$D$43="TD8,5")*($A$14:$A$43="Ft"))</f>
        <v>0</v>
      </c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302"/>
    </row>
    <row r="96" spans="1:34" ht="13" customHeight="1">
      <c r="C96" s="121" t="s">
        <v>84</v>
      </c>
      <c r="D96" s="122"/>
      <c r="E96" s="122"/>
      <c r="F96" s="122"/>
      <c r="G96" s="122"/>
      <c r="H96" s="124">
        <f>SUMPRODUCT((WEEKDAY($B$14:$B$43,2)=7)*($D$14:$D$43="TD9"))+SUMPRODUCT(($D$14:$D$43="TD9")*($A$14:$A$43="Ft"))-SUMPRODUCT((WEEKDAY($B$14:$B$43,2)=7)*($D$14:$D$43="TD9")*($A$14:$A$43="Ft"))</f>
        <v>0</v>
      </c>
    </row>
    <row r="97" spans="3:8" ht="13" customHeight="1">
      <c r="C97" s="121" t="s">
        <v>215</v>
      </c>
      <c r="D97" s="122"/>
      <c r="E97" s="122"/>
      <c r="F97" s="122"/>
      <c r="G97" s="122"/>
      <c r="H97" s="124">
        <f>SUMPRODUCT((WEEKDAY($B$14:$B$43,2)=7)*($D$14:$D$43="TD9,5"))+SUMPRODUCT(($D$14:$D$43="TD9,5")*($A$14:$A$43="Ft"))-SUMPRODUCT((WEEKDAY($B$14:$B$43,2)=7)*($D$14:$D$43="TD9,5")*($A$14:$A$43="Ft"))</f>
        <v>0</v>
      </c>
    </row>
    <row r="98" spans="3:8" ht="13" customHeight="1">
      <c r="C98" s="121" t="s">
        <v>413</v>
      </c>
      <c r="D98" s="122"/>
      <c r="E98" s="122"/>
      <c r="F98" s="122"/>
      <c r="G98" s="122"/>
      <c r="H98" s="124">
        <f>SUMPRODUCT((WEEKDAY($B$14:$B$43,2)=7)*($D$14:$D$43="TD10"))+SUMPRODUCT(($D$14:$D$43="TD10")*($A$14:$A$43="Ft"))-SUMPRODUCT((WEEKDAY($B$14:$B$43,2)=7)*($D$14:$D$43="TD10")*($A$14:$A$43="Ft"))</f>
        <v>0</v>
      </c>
    </row>
    <row r="99" spans="3:8" ht="13" customHeight="1">
      <c r="C99" s="121" t="s">
        <v>216</v>
      </c>
      <c r="D99" s="122"/>
      <c r="E99" s="122"/>
      <c r="F99" s="122"/>
      <c r="G99" s="122"/>
      <c r="H99" s="124">
        <f>SUMPRODUCT((WEEKDAY($B$14:$B$43,2)=7)*($D$14:$D$43="TD10,5"))+SUMPRODUCT(($D$14:$D$43="TD10,5")*($A$14:$A$43="Ft"))-SUMPRODUCT((WEEKDAY($B$14:$B$43,2)=7)*($D$14:$D$43="TD10,5")*($A$14:$A$43="Ft"))</f>
        <v>0</v>
      </c>
    </row>
    <row r="100" spans="3:8" ht="13" customHeight="1">
      <c r="C100" s="121" t="s">
        <v>217</v>
      </c>
      <c r="D100" s="122"/>
      <c r="E100" s="122"/>
      <c r="F100" s="122"/>
      <c r="G100" s="122"/>
      <c r="H100" s="124">
        <f>SUMPRODUCT((WEEKDAY($B$14:$B$43,2)=7)*($D$14:$D$43="TD11"))+SUMPRODUCT(($D$14:$D$43="TD11")*($A$14:$A$43="Ft"))-SUMPRODUCT((WEEKDAY($B$14:$B$43,2)=7)*($D$14:$D$43="TD11")*($A$14:$A$43="Ft"))</f>
        <v>0</v>
      </c>
    </row>
    <row r="101" spans="3:8" ht="13" customHeight="1">
      <c r="C101" s="121" t="s">
        <v>210</v>
      </c>
      <c r="D101" s="122"/>
      <c r="E101" s="122"/>
      <c r="F101" s="122"/>
      <c r="G101" s="122"/>
      <c r="H101" s="124">
        <f>SUMPRODUCT((WEEKDAY($B$14:$B$43,2)=7)*($D$14:$D$43="TD11,5"))+SUMPRODUCT(($D$14:$D$43="TD11,5")*($A$14:$A$43="Ft"))-SUMPRODUCT((WEEKDAY($B$14:$B$43,2)=7)*($D$14:$D$43="TD11,5")*($A$14:$A$43="Ft"))</f>
        <v>0</v>
      </c>
    </row>
    <row r="102" spans="3:8" ht="13" customHeight="1">
      <c r="C102" s="121" t="s">
        <v>218</v>
      </c>
      <c r="D102" s="122"/>
      <c r="E102" s="122"/>
      <c r="F102" s="122"/>
      <c r="G102" s="122"/>
      <c r="H102" s="124">
        <f>SUMPRODUCT((WEEKDAY($B$14:$B$43,2)=7)*($D$14:$D$43="TD12"))+SUMPRODUCT(($D$14:$D$43="TD12")*($A$14:$A$43="Ft"))-SUMPRODUCT((WEEKDAY($B$14:$B$43,2)=7)*($D$14:$D$43="TD12")*($A$14:$A$43="Ft"))</f>
        <v>0</v>
      </c>
    </row>
    <row r="103" spans="3:8" ht="13" customHeight="1">
      <c r="C103" s="121" t="s">
        <v>119</v>
      </c>
      <c r="D103" s="122"/>
      <c r="E103" s="122"/>
      <c r="F103" s="122"/>
      <c r="G103" s="122"/>
      <c r="H103" s="124">
        <f>SUMPRODUCT((WEEKDAY($B$14:$B$43,2)=7)*($D$14:$D$43="TD12,5"))+SUMPRODUCT(($D$14:$D$43="TD12,5")*($A$14:$A$43="Ft"))-SUMPRODUCT((WEEKDAY($B$14:$B$43,2)=7)*($D$14:$D$43="TD12,5")*($A$14:$A$43="Ft"))</f>
        <v>0</v>
      </c>
    </row>
    <row r="104" spans="3:8" ht="13" customHeight="1">
      <c r="C104" s="262" t="s">
        <v>149</v>
      </c>
      <c r="D104" s="263"/>
      <c r="E104" s="263"/>
      <c r="F104" s="263"/>
      <c r="G104" s="263"/>
      <c r="H104" s="162"/>
    </row>
    <row r="105" spans="3:8" ht="13" customHeight="1">
      <c r="C105" s="121" t="s">
        <v>153</v>
      </c>
      <c r="D105" s="122"/>
      <c r="E105" s="122"/>
      <c r="F105" s="122"/>
      <c r="G105" s="122"/>
      <c r="H105" s="124">
        <f>SUMPRODUCT((WEEKDAY($B$13:$B$42,2)=6)*($D$13:$D$42="ND12,5"))-SUMPRODUCT((WEEKDAY($B$13:$B$42,2)=6)*($D$13:$D$42="ND12,5")*($A$13:$A$42="Ft"))</f>
        <v>0</v>
      </c>
    </row>
    <row r="106" spans="3:8">
      <c r="C106" s="121" t="s">
        <v>150</v>
      </c>
      <c r="D106" s="125"/>
      <c r="E106" s="125"/>
      <c r="F106" s="125"/>
      <c r="G106" s="125"/>
      <c r="H106" s="124">
        <f>SUMPRODUCT((WEEKDAY($B$14:$B$43,2)=7)*($D$14:$D$43="ND12,5"))-SUMPRODUCT((WEEKDAY($B$14:$B$43,2)=7)*($D$14:$D$43="ND12,5")*($A$14:$A$43="Ft"))</f>
        <v>0</v>
      </c>
    </row>
    <row r="107" spans="3:8">
      <c r="C107" s="121" t="s">
        <v>151</v>
      </c>
      <c r="D107" s="125"/>
      <c r="E107" s="125"/>
      <c r="F107" s="125"/>
      <c r="G107" s="125"/>
      <c r="H107" s="124">
        <f>SUMPRODUCT(($D$14:$D$43="ND12,5")*($A$14:$A$43="Ft"))</f>
        <v>0</v>
      </c>
    </row>
    <row r="108" spans="3:8">
      <c r="C108" s="121" t="s">
        <v>155</v>
      </c>
      <c r="D108" s="125"/>
      <c r="E108" s="125"/>
      <c r="F108" s="125"/>
      <c r="G108" s="125"/>
      <c r="H108" s="124">
        <f>SUMPRODUCT((WEEKDAY($C$13:$C$42,2)=7)*($D$13:$D$42="ND12,5")*($A$14:$A$43="Ft"))-SUMPRODUCT((WEEKDAY($C$13:$C$42,2)=7)*($D$13:$D$42="ND12,5")*($A$13:$A$42="Ft")*($A$14:$A$43="Ft"))</f>
        <v>0</v>
      </c>
    </row>
    <row r="109" spans="3:8">
      <c r="C109" s="121" t="s">
        <v>156</v>
      </c>
      <c r="D109" s="125"/>
      <c r="E109" s="125"/>
      <c r="F109" s="125"/>
      <c r="G109" s="125"/>
      <c r="H109" s="124">
        <f>SUMPRODUCT(($A$13:$A$42="Ft")*($D$13:$D$42="ND12,5")*($A$14:$A$43="Ft"))</f>
        <v>0</v>
      </c>
    </row>
    <row r="110" spans="3:8">
      <c r="C110" s="121" t="s">
        <v>157</v>
      </c>
      <c r="D110" s="125"/>
      <c r="E110" s="125"/>
      <c r="F110" s="125"/>
      <c r="G110" s="125"/>
      <c r="H110" s="124">
        <f>SUMPRODUCT(($A$13:$A$42="Ft")*(WEEKDAY($C$14:$C$43,2)=7)*($D$13:$D$42="ND12,5"))-SUMPRODUCT(($A$13:$A$42="Ft")*($A$14:$A$43="Ft")*(WEEKDAY($C$14:$C$43,2)=7)*($D$13:$D$42="ND12,5"))</f>
        <v>0</v>
      </c>
    </row>
    <row r="111" spans="3:8">
      <c r="C111" s="126" t="s">
        <v>154</v>
      </c>
      <c r="D111" s="161"/>
      <c r="E111" s="161"/>
      <c r="F111" s="161"/>
      <c r="G111" s="161"/>
      <c r="H111" s="199">
        <f>SUMPRODUCT(($A$14:$A$43="Ft")*(WEEKDAY($C$13:$C$42,2)&lt;6)*($D$13:$D$42="ND12,5"))-(SUMPRODUCT(($A$14:$A$43="Ft")*($A$13:$A$42="Ft")*(WEEKDAY($C$13:$C$42,2)&lt;6)*($D$13:$D$42="ND12,5")))</f>
        <v>0</v>
      </c>
    </row>
  </sheetData>
  <sheetProtection algorithmName="SHA-512" hashValue="GIDmSkU/VTe8h/KO5HcHz/NsDfFRI+TMhaF69TLzMo4KmNrlv59J5pzcKIvlkDr6scO2DRumYOjw2PyJ6CPU3Q==" saltValue="c8MiOQ3L2B6kO8DxhG5f7g==" spinCount="100000" sheet="1" selectLockedCells="1"/>
  <mergeCells count="63">
    <mergeCell ref="N70:O70"/>
    <mergeCell ref="N71:O71"/>
    <mergeCell ref="N72:O72"/>
    <mergeCell ref="N60:O60"/>
    <mergeCell ref="N58:P59"/>
    <mergeCell ref="N61:O61"/>
    <mergeCell ref="N62:O62"/>
    <mergeCell ref="N69:O69"/>
    <mergeCell ref="N67:O67"/>
    <mergeCell ref="N68:O68"/>
    <mergeCell ref="J9:J11"/>
    <mergeCell ref="B9:C11"/>
    <mergeCell ref="D9:D11"/>
    <mergeCell ref="C50:D50"/>
    <mergeCell ref="G54:I54"/>
    <mergeCell ref="E9:E11"/>
    <mergeCell ref="F9:G10"/>
    <mergeCell ref="H9:I10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P9:P11"/>
    <mergeCell ref="N6:P6"/>
    <mergeCell ref="N5:P5"/>
    <mergeCell ref="AG10:AG11"/>
    <mergeCell ref="S9:S11"/>
    <mergeCell ref="Q9:Q11"/>
    <mergeCell ref="R9:R11"/>
    <mergeCell ref="AF10:AF11"/>
    <mergeCell ref="U10:Y10"/>
    <mergeCell ref="AA10:AE10"/>
    <mergeCell ref="L47:O47"/>
    <mergeCell ref="N55:O55"/>
    <mergeCell ref="N56:O56"/>
    <mergeCell ref="K5:M5"/>
    <mergeCell ref="L9:L11"/>
    <mergeCell ref="M9:M11"/>
    <mergeCell ref="K6:M6"/>
    <mergeCell ref="L46:O46"/>
    <mergeCell ref="N9:N11"/>
    <mergeCell ref="O9:O11"/>
    <mergeCell ref="N13:O13"/>
    <mergeCell ref="K8:M8"/>
    <mergeCell ref="N8:P8"/>
    <mergeCell ref="K7:M7"/>
    <mergeCell ref="N7:P7"/>
    <mergeCell ref="K9:K11"/>
    <mergeCell ref="N57:O57"/>
    <mergeCell ref="N50:P51"/>
    <mergeCell ref="N52:O52"/>
    <mergeCell ref="N64:P65"/>
    <mergeCell ref="N66:O66"/>
    <mergeCell ref="N63:O63"/>
    <mergeCell ref="N53:O53"/>
    <mergeCell ref="N54:O54"/>
  </mergeCells>
  <conditionalFormatting sqref="A13:A43">
    <cfRule type="cellIs" dxfId="187" priority="10" operator="equal">
      <formula>"HFT"</formula>
    </cfRule>
    <cfRule type="cellIs" dxfId="186" priority="11" operator="equal">
      <formula>"FT"</formula>
    </cfRule>
  </conditionalFormatting>
  <conditionalFormatting sqref="A44">
    <cfRule type="cellIs" dxfId="185" priority="323" operator="equal">
      <formula>"Ft"</formula>
    </cfRule>
  </conditionalFormatting>
  <conditionalFormatting sqref="B13:C43">
    <cfRule type="expression" dxfId="184" priority="324">
      <formula>WEEKDAY($C13,2)&gt;5</formula>
    </cfRule>
  </conditionalFormatting>
  <conditionalFormatting sqref="E8">
    <cfRule type="cellIs" dxfId="182" priority="53" operator="greaterThan">
      <formula>48</formula>
    </cfRule>
  </conditionalFormatting>
  <conditionalFormatting sqref="I46:K46">
    <cfRule type="cellIs" dxfId="181" priority="136" operator="equal">
      <formula>"Wochenarbeitszeit überschritten"</formula>
    </cfRule>
  </conditionalFormatting>
  <conditionalFormatting sqref="J44:P44">
    <cfRule type="cellIs" dxfId="180" priority="178" operator="equal">
      <formula>0</formula>
    </cfRule>
  </conditionalFormatting>
  <conditionalFormatting sqref="K8">
    <cfRule type="cellIs" dxfId="179" priority="232" operator="greaterThan">
      <formula>$N$8</formula>
    </cfRule>
    <cfRule type="cellIs" dxfId="178" priority="231" operator="equal">
      <formula>$N$8</formula>
    </cfRule>
    <cfRule type="cellIs" dxfId="177" priority="233" operator="lessThan">
      <formula>$N$8</formula>
    </cfRule>
  </conditionalFormatting>
  <conditionalFormatting sqref="K14:K43">
    <cfRule type="cellIs" dxfId="176" priority="42" operator="greaterThan">
      <formula>0</formula>
    </cfRule>
    <cfRule type="cellIs" dxfId="175" priority="41" operator="lessThanOrEqual">
      <formula>0</formula>
    </cfRule>
  </conditionalFormatting>
  <conditionalFormatting sqref="K44">
    <cfRule type="cellIs" dxfId="174" priority="236" operator="lessThan">
      <formula>0</formula>
    </cfRule>
  </conditionalFormatting>
  <conditionalFormatting sqref="N14:O43">
    <cfRule type="cellIs" dxfId="173" priority="13" operator="equal">
      <formula>0</formula>
    </cfRule>
  </conditionalFormatting>
  <conditionalFormatting sqref="P13:P43">
    <cfRule type="cellIs" dxfId="172" priority="2" operator="equal">
      <formula>0</formula>
    </cfRule>
  </conditionalFormatting>
  <conditionalFormatting sqref="P60:P63">
    <cfRule type="cellIs" dxfId="171" priority="72" operator="lessThan">
      <formula>0</formula>
    </cfRule>
  </conditionalFormatting>
  <conditionalFormatting sqref="Q46">
    <cfRule type="cellIs" dxfId="170" priority="57" operator="equal">
      <formula>0</formula>
    </cfRule>
  </conditionalFormatting>
  <conditionalFormatting sqref="T14:T43">
    <cfRule type="cellIs" dxfId="169" priority="39" operator="equal">
      <formula>0</formula>
    </cfRule>
  </conditionalFormatting>
  <conditionalFormatting sqref="T51:W51">
    <cfRule type="cellIs" dxfId="168" priority="29" operator="equal">
      <formula>0</formula>
    </cfRule>
  </conditionalFormatting>
  <conditionalFormatting sqref="T44:AD44">
    <cfRule type="cellIs" dxfId="167" priority="123" operator="equal">
      <formula>0</formula>
    </cfRule>
  </conditionalFormatting>
  <conditionalFormatting sqref="U15:W43">
    <cfRule type="cellIs" dxfId="166" priority="36" operator="equal">
      <formula>0</formula>
    </cfRule>
  </conditionalFormatting>
  <conditionalFormatting sqref="U51:Y53">
    <cfRule type="cellIs" dxfId="165" priority="19" operator="equal">
      <formula>0</formula>
    </cfRule>
  </conditionalFormatting>
  <conditionalFormatting sqref="V14">
    <cfRule type="cellIs" dxfId="164" priority="38" operator="equal">
      <formula>0</formula>
    </cfRule>
  </conditionalFormatting>
  <conditionalFormatting sqref="V13:Y13">
    <cfRule type="cellIs" dxfId="163" priority="74" operator="equal">
      <formula>0</formula>
    </cfRule>
  </conditionalFormatting>
  <conditionalFormatting sqref="W52">
    <cfRule type="cellIs" dxfId="162" priority="23" operator="equal">
      <formula>0</formula>
    </cfRule>
  </conditionalFormatting>
  <conditionalFormatting sqref="X14:Y43">
    <cfRule type="cellIs" dxfId="161" priority="35" operator="equal">
      <formula>0</formula>
    </cfRule>
  </conditionalFormatting>
  <conditionalFormatting sqref="Z13:Z43">
    <cfRule type="cellIs" dxfId="160" priority="189" operator="equal">
      <formula>0</formula>
    </cfRule>
  </conditionalFormatting>
  <conditionalFormatting sqref="Z51:AC51">
    <cfRule type="cellIs" dxfId="159" priority="27" operator="equal">
      <formula>0</formula>
    </cfRule>
  </conditionalFormatting>
  <conditionalFormatting sqref="AA14:AB43">
    <cfRule type="cellIs" dxfId="158" priority="43" operator="equal">
      <formula>0</formula>
    </cfRule>
  </conditionalFormatting>
  <conditionalFormatting sqref="AA51:AE52">
    <cfRule type="cellIs" dxfId="157" priority="4" operator="equal">
      <formula>0</formula>
    </cfRule>
  </conditionalFormatting>
  <conditionalFormatting sqref="AC13:AD43">
    <cfRule type="cellIs" dxfId="156" priority="143" operator="equal">
      <formula>0</formula>
    </cfRule>
  </conditionalFormatting>
  <conditionalFormatting sqref="AE13:AE44">
    <cfRule type="cellIs" dxfId="155" priority="1" operator="equal">
      <formula>0</formula>
    </cfRule>
  </conditionalFormatting>
  <conditionalFormatting sqref="AF13:AG43">
    <cfRule type="cellIs" dxfId="154" priority="87" operator="equal">
      <formula>0</formula>
    </cfRule>
  </conditionalFormatting>
  <conditionalFormatting sqref="AF44:AH44">
    <cfRule type="cellIs" dxfId="153" priority="64" operator="equal">
      <formula>0</formula>
    </cfRule>
  </conditionalFormatting>
  <conditionalFormatting sqref="AG51:AH51">
    <cfRule type="cellIs" dxfId="152" priority="18" operator="equal">
      <formula>0</formula>
    </cfRule>
  </conditionalFormatting>
  <conditionalFormatting sqref="AH14:AH43">
    <cfRule type="cellIs" dxfId="151" priority="32" operator="equal">
      <formula>0</formula>
    </cfRule>
  </conditionalFormatting>
  <conditionalFormatting sqref="AH51:AH52">
    <cfRule type="cellIs" dxfId="150" priority="16" operator="equal">
      <formula>0</formula>
    </cfRule>
  </conditionalFormatting>
  <dataValidations count="4">
    <dataValidation type="list" allowBlank="1" showInputMessage="1" showErrorMessage="1" sqref="J14:J43" xr:uid="{24055640-9AFD-4D72-A4A3-51BA0E35EDA8}">
      <formula1>AbwesenheitenStunden</formula1>
    </dataValidation>
    <dataValidation type="list" allowBlank="1" showInputMessage="1" showErrorMessage="1" error="Die Eingabe ist unzulässig_x000a_Bitte Drop Down Felder verwenden" sqref="F14:G43" xr:uid="{CF99D21B-3AEA-41AB-8B13-0CA3A316EEA6}">
      <formula1>Zeiten1</formula1>
    </dataValidation>
    <dataValidation type="decimal" allowBlank="1" showInputMessage="1" showErrorMessage="1" error="Die ausgewählte Stundenanzahl steht nicht zur Verfügung!" sqref="J54" xr:uid="{33F6C8FB-88EE-4133-8A6A-5765B2E122A6}">
      <formula1>0</formula1>
      <formula2>K54</formula2>
    </dataValidation>
    <dataValidation type="list" allowBlank="1" showInputMessage="1" showErrorMessage="1" sqref="H14:I43" xr:uid="{B1D4E8C1-7BCF-4967-BA32-3A3E047A0EB4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26" id="{E83F4957-D5DE-4E56-8305-7B53D000FC87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B00-000007000000}">
          <x14:formula1>
            <xm:f>Datenblatt!$A$31:$A$51</xm:f>
          </x14:formula1>
          <xm:sqref>A45 AF46:AH46 AI45:XFD45 L45:AE45</xm:sqref>
        </x14:dataValidation>
        <x14:dataValidation type="list" allowBlank="1" showInputMessage="1" showErrorMessage="1" xr:uid="{B8FA6BC4-C28E-4E59-8FC0-4BCCA9D27289}">
          <x14:formula1>
            <xm:f>IF((WEEKDAY(C14,2)&gt;=6),SF,IF((COUNTIF(Datenblatt!$B$84:$B$97,C14)=1),SF,IF(OR(D14="U",D14="ZA",D14="NDG",D14="SU",D14="PK",D14="RG",D14="Z0",D14="K",D14="WR"),SF,SpA)))</xm:f>
          </x14:formula1>
          <xm:sqref>E14:E43</xm:sqref>
        </x14:dataValidation>
        <x14:dataValidation type="list" allowBlank="1" showInputMessage="1" showErrorMessage="1" xr:uid="{671B2D11-532C-4149-B788-8498E40FE906}">
          <x14:formula1>
            <xm:f>IF((WEEKDAY(C14,2)&gt;=6),SF,IF((COUNTIF(Datenblatt!$B$84:$C$97,C14)=1),SF,Tagespräsenz))</xm:f>
          </x14:formula1>
          <xm:sqref>D14:D43</xm:sqref>
        </x14:dataValidation>
        <x14:dataValidation type="list" allowBlank="1" showInputMessage="1" showErrorMessage="1" xr:uid="{67C5C7F8-A291-4B33-B8F4-B9943DFEFBCD}">
          <x14:formula1>
            <xm:f>Datenblatt!$D$58:$D$59</xm:f>
          </x14:formula1>
          <xm:sqref>P46 J58</xm:sqref>
        </x14:dataValidation>
        <x14:dataValidation type="list" allowBlank="1" showInputMessage="1" showErrorMessage="1" xr:uid="{A9895C40-6EB3-4273-9D95-6E98BB5DAA7E}">
          <x14:formula1>
            <xm:f>Datenblatt!$D$52:$D$53</xm:f>
          </x14:formula1>
          <xm:sqref>P47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71" customWidth="1"/>
    <col min="2" max="2" width="3.1640625" style="56" customWidth="1"/>
    <col min="3" max="3" width="8.83203125" style="56" customWidth="1"/>
    <col min="4" max="5" width="9.83203125" style="56" customWidth="1"/>
    <col min="6" max="10" width="9.1640625" style="56" customWidth="1"/>
    <col min="11" max="16" width="8.83203125" style="56" customWidth="1"/>
    <col min="17" max="17" width="23.5" style="66" customWidth="1"/>
    <col min="18" max="18" width="36.5" style="66" customWidth="1"/>
    <col min="19" max="19" width="43.5" style="56" customWidth="1"/>
    <col min="20" max="33" width="7.1640625" style="234" customWidth="1"/>
    <col min="34" max="34" width="7.1640625" style="301" customWidth="1"/>
    <col min="35" max="264" width="11.5" style="56"/>
    <col min="265" max="265" width="0.5" style="56" customWidth="1"/>
    <col min="266" max="266" width="3.1640625" style="56" customWidth="1"/>
    <col min="267" max="267" width="8.83203125" style="56" customWidth="1"/>
    <col min="268" max="268" width="14.83203125" style="56" customWidth="1"/>
    <col min="269" max="270" width="6.5" style="56" customWidth="1"/>
    <col min="271" max="271" width="14.83203125" style="56" customWidth="1"/>
    <col min="272" max="273" width="11.5" style="56" customWidth="1"/>
    <col min="274" max="274" width="6.1640625" style="56" customWidth="1"/>
    <col min="275" max="275" width="22.83203125" style="56" customWidth="1"/>
    <col min="276" max="276" width="11.5" style="56" customWidth="1"/>
    <col min="277" max="277" width="13.83203125" style="56" customWidth="1"/>
    <col min="278" max="278" width="5.83203125" style="56" customWidth="1"/>
    <col min="279" max="279" width="15.5" style="56" customWidth="1"/>
    <col min="280" max="520" width="11.5" style="56"/>
    <col min="521" max="521" width="0.5" style="56" customWidth="1"/>
    <col min="522" max="522" width="3.1640625" style="56" customWidth="1"/>
    <col min="523" max="523" width="8.83203125" style="56" customWidth="1"/>
    <col min="524" max="524" width="14.83203125" style="56" customWidth="1"/>
    <col min="525" max="526" width="6.5" style="56" customWidth="1"/>
    <col min="527" max="527" width="14.83203125" style="56" customWidth="1"/>
    <col min="528" max="529" width="11.5" style="56" customWidth="1"/>
    <col min="530" max="530" width="6.1640625" style="56" customWidth="1"/>
    <col min="531" max="531" width="22.83203125" style="56" customWidth="1"/>
    <col min="532" max="532" width="11.5" style="56" customWidth="1"/>
    <col min="533" max="533" width="13.83203125" style="56" customWidth="1"/>
    <col min="534" max="534" width="5.83203125" style="56" customWidth="1"/>
    <col min="535" max="535" width="15.5" style="56" customWidth="1"/>
    <col min="536" max="776" width="11.5" style="56"/>
    <col min="777" max="777" width="0.5" style="56" customWidth="1"/>
    <col min="778" max="778" width="3.1640625" style="56" customWidth="1"/>
    <col min="779" max="779" width="8.83203125" style="56" customWidth="1"/>
    <col min="780" max="780" width="14.83203125" style="56" customWidth="1"/>
    <col min="781" max="782" width="6.5" style="56" customWidth="1"/>
    <col min="783" max="783" width="14.83203125" style="56" customWidth="1"/>
    <col min="784" max="785" width="11.5" style="56" customWidth="1"/>
    <col min="786" max="786" width="6.1640625" style="56" customWidth="1"/>
    <col min="787" max="787" width="22.83203125" style="56" customWidth="1"/>
    <col min="788" max="788" width="11.5" style="56" customWidth="1"/>
    <col min="789" max="789" width="13.83203125" style="56" customWidth="1"/>
    <col min="790" max="790" width="5.83203125" style="56" customWidth="1"/>
    <col min="791" max="791" width="15.5" style="56" customWidth="1"/>
    <col min="792" max="1032" width="11.5" style="56"/>
    <col min="1033" max="1033" width="0.5" style="56" customWidth="1"/>
    <col min="1034" max="1034" width="3.1640625" style="56" customWidth="1"/>
    <col min="1035" max="1035" width="8.83203125" style="56" customWidth="1"/>
    <col min="1036" max="1036" width="14.83203125" style="56" customWidth="1"/>
    <col min="1037" max="1038" width="6.5" style="56" customWidth="1"/>
    <col min="1039" max="1039" width="14.83203125" style="56" customWidth="1"/>
    <col min="1040" max="1041" width="11.5" style="56" customWidth="1"/>
    <col min="1042" max="1042" width="6.1640625" style="56" customWidth="1"/>
    <col min="1043" max="1043" width="22.83203125" style="56" customWidth="1"/>
    <col min="1044" max="1044" width="11.5" style="56" customWidth="1"/>
    <col min="1045" max="1045" width="13.83203125" style="56" customWidth="1"/>
    <col min="1046" max="1046" width="5.83203125" style="56" customWidth="1"/>
    <col min="1047" max="1047" width="15.5" style="56" customWidth="1"/>
    <col min="1048" max="1288" width="11.5" style="56"/>
    <col min="1289" max="1289" width="0.5" style="56" customWidth="1"/>
    <col min="1290" max="1290" width="3.1640625" style="56" customWidth="1"/>
    <col min="1291" max="1291" width="8.83203125" style="56" customWidth="1"/>
    <col min="1292" max="1292" width="14.83203125" style="56" customWidth="1"/>
    <col min="1293" max="1294" width="6.5" style="56" customWidth="1"/>
    <col min="1295" max="1295" width="14.83203125" style="56" customWidth="1"/>
    <col min="1296" max="1297" width="11.5" style="56" customWidth="1"/>
    <col min="1298" max="1298" width="6.1640625" style="56" customWidth="1"/>
    <col min="1299" max="1299" width="22.83203125" style="56" customWidth="1"/>
    <col min="1300" max="1300" width="11.5" style="56" customWidth="1"/>
    <col min="1301" max="1301" width="13.83203125" style="56" customWidth="1"/>
    <col min="1302" max="1302" width="5.83203125" style="56" customWidth="1"/>
    <col min="1303" max="1303" width="15.5" style="56" customWidth="1"/>
    <col min="1304" max="1544" width="11.5" style="56"/>
    <col min="1545" max="1545" width="0.5" style="56" customWidth="1"/>
    <col min="1546" max="1546" width="3.1640625" style="56" customWidth="1"/>
    <col min="1547" max="1547" width="8.83203125" style="56" customWidth="1"/>
    <col min="1548" max="1548" width="14.83203125" style="56" customWidth="1"/>
    <col min="1549" max="1550" width="6.5" style="56" customWidth="1"/>
    <col min="1551" max="1551" width="14.83203125" style="56" customWidth="1"/>
    <col min="1552" max="1553" width="11.5" style="56" customWidth="1"/>
    <col min="1554" max="1554" width="6.1640625" style="56" customWidth="1"/>
    <col min="1555" max="1555" width="22.83203125" style="56" customWidth="1"/>
    <col min="1556" max="1556" width="11.5" style="56" customWidth="1"/>
    <col min="1557" max="1557" width="13.83203125" style="56" customWidth="1"/>
    <col min="1558" max="1558" width="5.83203125" style="56" customWidth="1"/>
    <col min="1559" max="1559" width="15.5" style="56" customWidth="1"/>
    <col min="1560" max="1800" width="11.5" style="56"/>
    <col min="1801" max="1801" width="0.5" style="56" customWidth="1"/>
    <col min="1802" max="1802" width="3.1640625" style="56" customWidth="1"/>
    <col min="1803" max="1803" width="8.83203125" style="56" customWidth="1"/>
    <col min="1804" max="1804" width="14.83203125" style="56" customWidth="1"/>
    <col min="1805" max="1806" width="6.5" style="56" customWidth="1"/>
    <col min="1807" max="1807" width="14.83203125" style="56" customWidth="1"/>
    <col min="1808" max="1809" width="11.5" style="56" customWidth="1"/>
    <col min="1810" max="1810" width="6.1640625" style="56" customWidth="1"/>
    <col min="1811" max="1811" width="22.83203125" style="56" customWidth="1"/>
    <col min="1812" max="1812" width="11.5" style="56" customWidth="1"/>
    <col min="1813" max="1813" width="13.83203125" style="56" customWidth="1"/>
    <col min="1814" max="1814" width="5.83203125" style="56" customWidth="1"/>
    <col min="1815" max="1815" width="15.5" style="56" customWidth="1"/>
    <col min="1816" max="2056" width="11.5" style="56"/>
    <col min="2057" max="2057" width="0.5" style="56" customWidth="1"/>
    <col min="2058" max="2058" width="3.1640625" style="56" customWidth="1"/>
    <col min="2059" max="2059" width="8.83203125" style="56" customWidth="1"/>
    <col min="2060" max="2060" width="14.83203125" style="56" customWidth="1"/>
    <col min="2061" max="2062" width="6.5" style="56" customWidth="1"/>
    <col min="2063" max="2063" width="14.83203125" style="56" customWidth="1"/>
    <col min="2064" max="2065" width="11.5" style="56" customWidth="1"/>
    <col min="2066" max="2066" width="6.1640625" style="56" customWidth="1"/>
    <col min="2067" max="2067" width="22.83203125" style="56" customWidth="1"/>
    <col min="2068" max="2068" width="11.5" style="56" customWidth="1"/>
    <col min="2069" max="2069" width="13.83203125" style="56" customWidth="1"/>
    <col min="2070" max="2070" width="5.83203125" style="56" customWidth="1"/>
    <col min="2071" max="2071" width="15.5" style="56" customWidth="1"/>
    <col min="2072" max="2312" width="11.5" style="56"/>
    <col min="2313" max="2313" width="0.5" style="56" customWidth="1"/>
    <col min="2314" max="2314" width="3.1640625" style="56" customWidth="1"/>
    <col min="2315" max="2315" width="8.83203125" style="56" customWidth="1"/>
    <col min="2316" max="2316" width="14.83203125" style="56" customWidth="1"/>
    <col min="2317" max="2318" width="6.5" style="56" customWidth="1"/>
    <col min="2319" max="2319" width="14.83203125" style="56" customWidth="1"/>
    <col min="2320" max="2321" width="11.5" style="56" customWidth="1"/>
    <col min="2322" max="2322" width="6.1640625" style="56" customWidth="1"/>
    <col min="2323" max="2323" width="22.83203125" style="56" customWidth="1"/>
    <col min="2324" max="2324" width="11.5" style="56" customWidth="1"/>
    <col min="2325" max="2325" width="13.83203125" style="56" customWidth="1"/>
    <col min="2326" max="2326" width="5.83203125" style="56" customWidth="1"/>
    <col min="2327" max="2327" width="15.5" style="56" customWidth="1"/>
    <col min="2328" max="2568" width="11.5" style="56"/>
    <col min="2569" max="2569" width="0.5" style="56" customWidth="1"/>
    <col min="2570" max="2570" width="3.1640625" style="56" customWidth="1"/>
    <col min="2571" max="2571" width="8.83203125" style="56" customWidth="1"/>
    <col min="2572" max="2572" width="14.83203125" style="56" customWidth="1"/>
    <col min="2573" max="2574" width="6.5" style="56" customWidth="1"/>
    <col min="2575" max="2575" width="14.83203125" style="56" customWidth="1"/>
    <col min="2576" max="2577" width="11.5" style="56" customWidth="1"/>
    <col min="2578" max="2578" width="6.1640625" style="56" customWidth="1"/>
    <col min="2579" max="2579" width="22.83203125" style="56" customWidth="1"/>
    <col min="2580" max="2580" width="11.5" style="56" customWidth="1"/>
    <col min="2581" max="2581" width="13.83203125" style="56" customWidth="1"/>
    <col min="2582" max="2582" width="5.83203125" style="56" customWidth="1"/>
    <col min="2583" max="2583" width="15.5" style="56" customWidth="1"/>
    <col min="2584" max="2824" width="11.5" style="56"/>
    <col min="2825" max="2825" width="0.5" style="56" customWidth="1"/>
    <col min="2826" max="2826" width="3.1640625" style="56" customWidth="1"/>
    <col min="2827" max="2827" width="8.83203125" style="56" customWidth="1"/>
    <col min="2828" max="2828" width="14.83203125" style="56" customWidth="1"/>
    <col min="2829" max="2830" width="6.5" style="56" customWidth="1"/>
    <col min="2831" max="2831" width="14.83203125" style="56" customWidth="1"/>
    <col min="2832" max="2833" width="11.5" style="56" customWidth="1"/>
    <col min="2834" max="2834" width="6.1640625" style="56" customWidth="1"/>
    <col min="2835" max="2835" width="22.83203125" style="56" customWidth="1"/>
    <col min="2836" max="2836" width="11.5" style="56" customWidth="1"/>
    <col min="2837" max="2837" width="13.83203125" style="56" customWidth="1"/>
    <col min="2838" max="2838" width="5.83203125" style="56" customWidth="1"/>
    <col min="2839" max="2839" width="15.5" style="56" customWidth="1"/>
    <col min="2840" max="3080" width="11.5" style="56"/>
    <col min="3081" max="3081" width="0.5" style="56" customWidth="1"/>
    <col min="3082" max="3082" width="3.1640625" style="56" customWidth="1"/>
    <col min="3083" max="3083" width="8.83203125" style="56" customWidth="1"/>
    <col min="3084" max="3084" width="14.83203125" style="56" customWidth="1"/>
    <col min="3085" max="3086" width="6.5" style="56" customWidth="1"/>
    <col min="3087" max="3087" width="14.83203125" style="56" customWidth="1"/>
    <col min="3088" max="3089" width="11.5" style="56" customWidth="1"/>
    <col min="3090" max="3090" width="6.1640625" style="56" customWidth="1"/>
    <col min="3091" max="3091" width="22.83203125" style="56" customWidth="1"/>
    <col min="3092" max="3092" width="11.5" style="56" customWidth="1"/>
    <col min="3093" max="3093" width="13.83203125" style="56" customWidth="1"/>
    <col min="3094" max="3094" width="5.83203125" style="56" customWidth="1"/>
    <col min="3095" max="3095" width="15.5" style="56" customWidth="1"/>
    <col min="3096" max="3336" width="11.5" style="56"/>
    <col min="3337" max="3337" width="0.5" style="56" customWidth="1"/>
    <col min="3338" max="3338" width="3.1640625" style="56" customWidth="1"/>
    <col min="3339" max="3339" width="8.83203125" style="56" customWidth="1"/>
    <col min="3340" max="3340" width="14.83203125" style="56" customWidth="1"/>
    <col min="3341" max="3342" width="6.5" style="56" customWidth="1"/>
    <col min="3343" max="3343" width="14.83203125" style="56" customWidth="1"/>
    <col min="3344" max="3345" width="11.5" style="56" customWidth="1"/>
    <col min="3346" max="3346" width="6.1640625" style="56" customWidth="1"/>
    <col min="3347" max="3347" width="22.83203125" style="56" customWidth="1"/>
    <col min="3348" max="3348" width="11.5" style="56" customWidth="1"/>
    <col min="3349" max="3349" width="13.83203125" style="56" customWidth="1"/>
    <col min="3350" max="3350" width="5.83203125" style="56" customWidth="1"/>
    <col min="3351" max="3351" width="15.5" style="56" customWidth="1"/>
    <col min="3352" max="3592" width="11.5" style="56"/>
    <col min="3593" max="3593" width="0.5" style="56" customWidth="1"/>
    <col min="3594" max="3594" width="3.1640625" style="56" customWidth="1"/>
    <col min="3595" max="3595" width="8.83203125" style="56" customWidth="1"/>
    <col min="3596" max="3596" width="14.83203125" style="56" customWidth="1"/>
    <col min="3597" max="3598" width="6.5" style="56" customWidth="1"/>
    <col min="3599" max="3599" width="14.83203125" style="56" customWidth="1"/>
    <col min="3600" max="3601" width="11.5" style="56" customWidth="1"/>
    <col min="3602" max="3602" width="6.1640625" style="56" customWidth="1"/>
    <col min="3603" max="3603" width="22.83203125" style="56" customWidth="1"/>
    <col min="3604" max="3604" width="11.5" style="56" customWidth="1"/>
    <col min="3605" max="3605" width="13.83203125" style="56" customWidth="1"/>
    <col min="3606" max="3606" width="5.83203125" style="56" customWidth="1"/>
    <col min="3607" max="3607" width="15.5" style="56" customWidth="1"/>
    <col min="3608" max="3848" width="11.5" style="56"/>
    <col min="3849" max="3849" width="0.5" style="56" customWidth="1"/>
    <col min="3850" max="3850" width="3.1640625" style="56" customWidth="1"/>
    <col min="3851" max="3851" width="8.83203125" style="56" customWidth="1"/>
    <col min="3852" max="3852" width="14.83203125" style="56" customWidth="1"/>
    <col min="3853" max="3854" width="6.5" style="56" customWidth="1"/>
    <col min="3855" max="3855" width="14.83203125" style="56" customWidth="1"/>
    <col min="3856" max="3857" width="11.5" style="56" customWidth="1"/>
    <col min="3858" max="3858" width="6.1640625" style="56" customWidth="1"/>
    <col min="3859" max="3859" width="22.83203125" style="56" customWidth="1"/>
    <col min="3860" max="3860" width="11.5" style="56" customWidth="1"/>
    <col min="3861" max="3861" width="13.83203125" style="56" customWidth="1"/>
    <col min="3862" max="3862" width="5.83203125" style="56" customWidth="1"/>
    <col min="3863" max="3863" width="15.5" style="56" customWidth="1"/>
    <col min="3864" max="4104" width="11.5" style="56"/>
    <col min="4105" max="4105" width="0.5" style="56" customWidth="1"/>
    <col min="4106" max="4106" width="3.1640625" style="56" customWidth="1"/>
    <col min="4107" max="4107" width="8.83203125" style="56" customWidth="1"/>
    <col min="4108" max="4108" width="14.83203125" style="56" customWidth="1"/>
    <col min="4109" max="4110" width="6.5" style="56" customWidth="1"/>
    <col min="4111" max="4111" width="14.83203125" style="56" customWidth="1"/>
    <col min="4112" max="4113" width="11.5" style="56" customWidth="1"/>
    <col min="4114" max="4114" width="6.1640625" style="56" customWidth="1"/>
    <col min="4115" max="4115" width="22.83203125" style="56" customWidth="1"/>
    <col min="4116" max="4116" width="11.5" style="56" customWidth="1"/>
    <col min="4117" max="4117" width="13.83203125" style="56" customWidth="1"/>
    <col min="4118" max="4118" width="5.83203125" style="56" customWidth="1"/>
    <col min="4119" max="4119" width="15.5" style="56" customWidth="1"/>
    <col min="4120" max="4360" width="11.5" style="56"/>
    <col min="4361" max="4361" width="0.5" style="56" customWidth="1"/>
    <col min="4362" max="4362" width="3.1640625" style="56" customWidth="1"/>
    <col min="4363" max="4363" width="8.83203125" style="56" customWidth="1"/>
    <col min="4364" max="4364" width="14.83203125" style="56" customWidth="1"/>
    <col min="4365" max="4366" width="6.5" style="56" customWidth="1"/>
    <col min="4367" max="4367" width="14.83203125" style="56" customWidth="1"/>
    <col min="4368" max="4369" width="11.5" style="56" customWidth="1"/>
    <col min="4370" max="4370" width="6.1640625" style="56" customWidth="1"/>
    <col min="4371" max="4371" width="22.83203125" style="56" customWidth="1"/>
    <col min="4372" max="4372" width="11.5" style="56" customWidth="1"/>
    <col min="4373" max="4373" width="13.83203125" style="56" customWidth="1"/>
    <col min="4374" max="4374" width="5.83203125" style="56" customWidth="1"/>
    <col min="4375" max="4375" width="15.5" style="56" customWidth="1"/>
    <col min="4376" max="4616" width="11.5" style="56"/>
    <col min="4617" max="4617" width="0.5" style="56" customWidth="1"/>
    <col min="4618" max="4618" width="3.1640625" style="56" customWidth="1"/>
    <col min="4619" max="4619" width="8.83203125" style="56" customWidth="1"/>
    <col min="4620" max="4620" width="14.83203125" style="56" customWidth="1"/>
    <col min="4621" max="4622" width="6.5" style="56" customWidth="1"/>
    <col min="4623" max="4623" width="14.83203125" style="56" customWidth="1"/>
    <col min="4624" max="4625" width="11.5" style="56" customWidth="1"/>
    <col min="4626" max="4626" width="6.1640625" style="56" customWidth="1"/>
    <col min="4627" max="4627" width="22.83203125" style="56" customWidth="1"/>
    <col min="4628" max="4628" width="11.5" style="56" customWidth="1"/>
    <col min="4629" max="4629" width="13.83203125" style="56" customWidth="1"/>
    <col min="4630" max="4630" width="5.83203125" style="56" customWidth="1"/>
    <col min="4631" max="4631" width="15.5" style="56" customWidth="1"/>
    <col min="4632" max="4872" width="11.5" style="56"/>
    <col min="4873" max="4873" width="0.5" style="56" customWidth="1"/>
    <col min="4874" max="4874" width="3.1640625" style="56" customWidth="1"/>
    <col min="4875" max="4875" width="8.83203125" style="56" customWidth="1"/>
    <col min="4876" max="4876" width="14.83203125" style="56" customWidth="1"/>
    <col min="4877" max="4878" width="6.5" style="56" customWidth="1"/>
    <col min="4879" max="4879" width="14.83203125" style="56" customWidth="1"/>
    <col min="4880" max="4881" width="11.5" style="56" customWidth="1"/>
    <col min="4882" max="4882" width="6.1640625" style="56" customWidth="1"/>
    <col min="4883" max="4883" width="22.83203125" style="56" customWidth="1"/>
    <col min="4884" max="4884" width="11.5" style="56" customWidth="1"/>
    <col min="4885" max="4885" width="13.83203125" style="56" customWidth="1"/>
    <col min="4886" max="4886" width="5.83203125" style="56" customWidth="1"/>
    <col min="4887" max="4887" width="15.5" style="56" customWidth="1"/>
    <col min="4888" max="5128" width="11.5" style="56"/>
    <col min="5129" max="5129" width="0.5" style="56" customWidth="1"/>
    <col min="5130" max="5130" width="3.1640625" style="56" customWidth="1"/>
    <col min="5131" max="5131" width="8.83203125" style="56" customWidth="1"/>
    <col min="5132" max="5132" width="14.83203125" style="56" customWidth="1"/>
    <col min="5133" max="5134" width="6.5" style="56" customWidth="1"/>
    <col min="5135" max="5135" width="14.83203125" style="56" customWidth="1"/>
    <col min="5136" max="5137" width="11.5" style="56" customWidth="1"/>
    <col min="5138" max="5138" width="6.1640625" style="56" customWidth="1"/>
    <col min="5139" max="5139" width="22.83203125" style="56" customWidth="1"/>
    <col min="5140" max="5140" width="11.5" style="56" customWidth="1"/>
    <col min="5141" max="5141" width="13.83203125" style="56" customWidth="1"/>
    <col min="5142" max="5142" width="5.83203125" style="56" customWidth="1"/>
    <col min="5143" max="5143" width="15.5" style="56" customWidth="1"/>
    <col min="5144" max="5384" width="11.5" style="56"/>
    <col min="5385" max="5385" width="0.5" style="56" customWidth="1"/>
    <col min="5386" max="5386" width="3.1640625" style="56" customWidth="1"/>
    <col min="5387" max="5387" width="8.83203125" style="56" customWidth="1"/>
    <col min="5388" max="5388" width="14.83203125" style="56" customWidth="1"/>
    <col min="5389" max="5390" width="6.5" style="56" customWidth="1"/>
    <col min="5391" max="5391" width="14.83203125" style="56" customWidth="1"/>
    <col min="5392" max="5393" width="11.5" style="56" customWidth="1"/>
    <col min="5394" max="5394" width="6.1640625" style="56" customWidth="1"/>
    <col min="5395" max="5395" width="22.83203125" style="56" customWidth="1"/>
    <col min="5396" max="5396" width="11.5" style="56" customWidth="1"/>
    <col min="5397" max="5397" width="13.83203125" style="56" customWidth="1"/>
    <col min="5398" max="5398" width="5.83203125" style="56" customWidth="1"/>
    <col min="5399" max="5399" width="15.5" style="56" customWidth="1"/>
    <col min="5400" max="5640" width="11.5" style="56"/>
    <col min="5641" max="5641" width="0.5" style="56" customWidth="1"/>
    <col min="5642" max="5642" width="3.1640625" style="56" customWidth="1"/>
    <col min="5643" max="5643" width="8.83203125" style="56" customWidth="1"/>
    <col min="5644" max="5644" width="14.83203125" style="56" customWidth="1"/>
    <col min="5645" max="5646" width="6.5" style="56" customWidth="1"/>
    <col min="5647" max="5647" width="14.83203125" style="56" customWidth="1"/>
    <col min="5648" max="5649" width="11.5" style="56" customWidth="1"/>
    <col min="5650" max="5650" width="6.1640625" style="56" customWidth="1"/>
    <col min="5651" max="5651" width="22.83203125" style="56" customWidth="1"/>
    <col min="5652" max="5652" width="11.5" style="56" customWidth="1"/>
    <col min="5653" max="5653" width="13.83203125" style="56" customWidth="1"/>
    <col min="5654" max="5654" width="5.83203125" style="56" customWidth="1"/>
    <col min="5655" max="5655" width="15.5" style="56" customWidth="1"/>
    <col min="5656" max="5896" width="11.5" style="56"/>
    <col min="5897" max="5897" width="0.5" style="56" customWidth="1"/>
    <col min="5898" max="5898" width="3.1640625" style="56" customWidth="1"/>
    <col min="5899" max="5899" width="8.83203125" style="56" customWidth="1"/>
    <col min="5900" max="5900" width="14.83203125" style="56" customWidth="1"/>
    <col min="5901" max="5902" width="6.5" style="56" customWidth="1"/>
    <col min="5903" max="5903" width="14.83203125" style="56" customWidth="1"/>
    <col min="5904" max="5905" width="11.5" style="56" customWidth="1"/>
    <col min="5906" max="5906" width="6.1640625" style="56" customWidth="1"/>
    <col min="5907" max="5907" width="22.83203125" style="56" customWidth="1"/>
    <col min="5908" max="5908" width="11.5" style="56" customWidth="1"/>
    <col min="5909" max="5909" width="13.83203125" style="56" customWidth="1"/>
    <col min="5910" max="5910" width="5.83203125" style="56" customWidth="1"/>
    <col min="5911" max="5911" width="15.5" style="56" customWidth="1"/>
    <col min="5912" max="6152" width="11.5" style="56"/>
    <col min="6153" max="6153" width="0.5" style="56" customWidth="1"/>
    <col min="6154" max="6154" width="3.1640625" style="56" customWidth="1"/>
    <col min="6155" max="6155" width="8.83203125" style="56" customWidth="1"/>
    <col min="6156" max="6156" width="14.83203125" style="56" customWidth="1"/>
    <col min="6157" max="6158" width="6.5" style="56" customWidth="1"/>
    <col min="6159" max="6159" width="14.83203125" style="56" customWidth="1"/>
    <col min="6160" max="6161" width="11.5" style="56" customWidth="1"/>
    <col min="6162" max="6162" width="6.1640625" style="56" customWidth="1"/>
    <col min="6163" max="6163" width="22.83203125" style="56" customWidth="1"/>
    <col min="6164" max="6164" width="11.5" style="56" customWidth="1"/>
    <col min="6165" max="6165" width="13.83203125" style="56" customWidth="1"/>
    <col min="6166" max="6166" width="5.83203125" style="56" customWidth="1"/>
    <col min="6167" max="6167" width="15.5" style="56" customWidth="1"/>
    <col min="6168" max="6408" width="11.5" style="56"/>
    <col min="6409" max="6409" width="0.5" style="56" customWidth="1"/>
    <col min="6410" max="6410" width="3.1640625" style="56" customWidth="1"/>
    <col min="6411" max="6411" width="8.83203125" style="56" customWidth="1"/>
    <col min="6412" max="6412" width="14.83203125" style="56" customWidth="1"/>
    <col min="6413" max="6414" width="6.5" style="56" customWidth="1"/>
    <col min="6415" max="6415" width="14.83203125" style="56" customWidth="1"/>
    <col min="6416" max="6417" width="11.5" style="56" customWidth="1"/>
    <col min="6418" max="6418" width="6.1640625" style="56" customWidth="1"/>
    <col min="6419" max="6419" width="22.83203125" style="56" customWidth="1"/>
    <col min="6420" max="6420" width="11.5" style="56" customWidth="1"/>
    <col min="6421" max="6421" width="13.83203125" style="56" customWidth="1"/>
    <col min="6422" max="6422" width="5.83203125" style="56" customWidth="1"/>
    <col min="6423" max="6423" width="15.5" style="56" customWidth="1"/>
    <col min="6424" max="6664" width="11.5" style="56"/>
    <col min="6665" max="6665" width="0.5" style="56" customWidth="1"/>
    <col min="6666" max="6666" width="3.1640625" style="56" customWidth="1"/>
    <col min="6667" max="6667" width="8.83203125" style="56" customWidth="1"/>
    <col min="6668" max="6668" width="14.83203125" style="56" customWidth="1"/>
    <col min="6669" max="6670" width="6.5" style="56" customWidth="1"/>
    <col min="6671" max="6671" width="14.83203125" style="56" customWidth="1"/>
    <col min="6672" max="6673" width="11.5" style="56" customWidth="1"/>
    <col min="6674" max="6674" width="6.1640625" style="56" customWidth="1"/>
    <col min="6675" max="6675" width="22.83203125" style="56" customWidth="1"/>
    <col min="6676" max="6676" width="11.5" style="56" customWidth="1"/>
    <col min="6677" max="6677" width="13.83203125" style="56" customWidth="1"/>
    <col min="6678" max="6678" width="5.83203125" style="56" customWidth="1"/>
    <col min="6679" max="6679" width="15.5" style="56" customWidth="1"/>
    <col min="6680" max="6920" width="11.5" style="56"/>
    <col min="6921" max="6921" width="0.5" style="56" customWidth="1"/>
    <col min="6922" max="6922" width="3.1640625" style="56" customWidth="1"/>
    <col min="6923" max="6923" width="8.83203125" style="56" customWidth="1"/>
    <col min="6924" max="6924" width="14.83203125" style="56" customWidth="1"/>
    <col min="6925" max="6926" width="6.5" style="56" customWidth="1"/>
    <col min="6927" max="6927" width="14.83203125" style="56" customWidth="1"/>
    <col min="6928" max="6929" width="11.5" style="56" customWidth="1"/>
    <col min="6930" max="6930" width="6.1640625" style="56" customWidth="1"/>
    <col min="6931" max="6931" width="22.83203125" style="56" customWidth="1"/>
    <col min="6932" max="6932" width="11.5" style="56" customWidth="1"/>
    <col min="6933" max="6933" width="13.83203125" style="56" customWidth="1"/>
    <col min="6934" max="6934" width="5.83203125" style="56" customWidth="1"/>
    <col min="6935" max="6935" width="15.5" style="56" customWidth="1"/>
    <col min="6936" max="7176" width="11.5" style="56"/>
    <col min="7177" max="7177" width="0.5" style="56" customWidth="1"/>
    <col min="7178" max="7178" width="3.1640625" style="56" customWidth="1"/>
    <col min="7179" max="7179" width="8.83203125" style="56" customWidth="1"/>
    <col min="7180" max="7180" width="14.83203125" style="56" customWidth="1"/>
    <col min="7181" max="7182" width="6.5" style="56" customWidth="1"/>
    <col min="7183" max="7183" width="14.83203125" style="56" customWidth="1"/>
    <col min="7184" max="7185" width="11.5" style="56" customWidth="1"/>
    <col min="7186" max="7186" width="6.1640625" style="56" customWidth="1"/>
    <col min="7187" max="7187" width="22.83203125" style="56" customWidth="1"/>
    <col min="7188" max="7188" width="11.5" style="56" customWidth="1"/>
    <col min="7189" max="7189" width="13.83203125" style="56" customWidth="1"/>
    <col min="7190" max="7190" width="5.83203125" style="56" customWidth="1"/>
    <col min="7191" max="7191" width="15.5" style="56" customWidth="1"/>
    <col min="7192" max="7432" width="11.5" style="56"/>
    <col min="7433" max="7433" width="0.5" style="56" customWidth="1"/>
    <col min="7434" max="7434" width="3.1640625" style="56" customWidth="1"/>
    <col min="7435" max="7435" width="8.83203125" style="56" customWidth="1"/>
    <col min="7436" max="7436" width="14.83203125" style="56" customWidth="1"/>
    <col min="7437" max="7438" width="6.5" style="56" customWidth="1"/>
    <col min="7439" max="7439" width="14.83203125" style="56" customWidth="1"/>
    <col min="7440" max="7441" width="11.5" style="56" customWidth="1"/>
    <col min="7442" max="7442" width="6.1640625" style="56" customWidth="1"/>
    <col min="7443" max="7443" width="22.83203125" style="56" customWidth="1"/>
    <col min="7444" max="7444" width="11.5" style="56" customWidth="1"/>
    <col min="7445" max="7445" width="13.83203125" style="56" customWidth="1"/>
    <col min="7446" max="7446" width="5.83203125" style="56" customWidth="1"/>
    <col min="7447" max="7447" width="15.5" style="56" customWidth="1"/>
    <col min="7448" max="7688" width="11.5" style="56"/>
    <col min="7689" max="7689" width="0.5" style="56" customWidth="1"/>
    <col min="7690" max="7690" width="3.1640625" style="56" customWidth="1"/>
    <col min="7691" max="7691" width="8.83203125" style="56" customWidth="1"/>
    <col min="7692" max="7692" width="14.83203125" style="56" customWidth="1"/>
    <col min="7693" max="7694" width="6.5" style="56" customWidth="1"/>
    <col min="7695" max="7695" width="14.83203125" style="56" customWidth="1"/>
    <col min="7696" max="7697" width="11.5" style="56" customWidth="1"/>
    <col min="7698" max="7698" width="6.1640625" style="56" customWidth="1"/>
    <col min="7699" max="7699" width="22.83203125" style="56" customWidth="1"/>
    <col min="7700" max="7700" width="11.5" style="56" customWidth="1"/>
    <col min="7701" max="7701" width="13.83203125" style="56" customWidth="1"/>
    <col min="7702" max="7702" width="5.83203125" style="56" customWidth="1"/>
    <col min="7703" max="7703" width="15.5" style="56" customWidth="1"/>
    <col min="7704" max="7944" width="11.5" style="56"/>
    <col min="7945" max="7945" width="0.5" style="56" customWidth="1"/>
    <col min="7946" max="7946" width="3.1640625" style="56" customWidth="1"/>
    <col min="7947" max="7947" width="8.83203125" style="56" customWidth="1"/>
    <col min="7948" max="7948" width="14.83203125" style="56" customWidth="1"/>
    <col min="7949" max="7950" width="6.5" style="56" customWidth="1"/>
    <col min="7951" max="7951" width="14.83203125" style="56" customWidth="1"/>
    <col min="7952" max="7953" width="11.5" style="56" customWidth="1"/>
    <col min="7954" max="7954" width="6.1640625" style="56" customWidth="1"/>
    <col min="7955" max="7955" width="22.83203125" style="56" customWidth="1"/>
    <col min="7956" max="7956" width="11.5" style="56" customWidth="1"/>
    <col min="7957" max="7957" width="13.83203125" style="56" customWidth="1"/>
    <col min="7958" max="7958" width="5.83203125" style="56" customWidth="1"/>
    <col min="7959" max="7959" width="15.5" style="56" customWidth="1"/>
    <col min="7960" max="8200" width="11.5" style="56"/>
    <col min="8201" max="8201" width="0.5" style="56" customWidth="1"/>
    <col min="8202" max="8202" width="3.1640625" style="56" customWidth="1"/>
    <col min="8203" max="8203" width="8.83203125" style="56" customWidth="1"/>
    <col min="8204" max="8204" width="14.83203125" style="56" customWidth="1"/>
    <col min="8205" max="8206" width="6.5" style="56" customWidth="1"/>
    <col min="8207" max="8207" width="14.83203125" style="56" customWidth="1"/>
    <col min="8208" max="8209" width="11.5" style="56" customWidth="1"/>
    <col min="8210" max="8210" width="6.1640625" style="56" customWidth="1"/>
    <col min="8211" max="8211" width="22.83203125" style="56" customWidth="1"/>
    <col min="8212" max="8212" width="11.5" style="56" customWidth="1"/>
    <col min="8213" max="8213" width="13.83203125" style="56" customWidth="1"/>
    <col min="8214" max="8214" width="5.83203125" style="56" customWidth="1"/>
    <col min="8215" max="8215" width="15.5" style="56" customWidth="1"/>
    <col min="8216" max="8456" width="11.5" style="56"/>
    <col min="8457" max="8457" width="0.5" style="56" customWidth="1"/>
    <col min="8458" max="8458" width="3.1640625" style="56" customWidth="1"/>
    <col min="8459" max="8459" width="8.83203125" style="56" customWidth="1"/>
    <col min="8460" max="8460" width="14.83203125" style="56" customWidth="1"/>
    <col min="8461" max="8462" width="6.5" style="56" customWidth="1"/>
    <col min="8463" max="8463" width="14.83203125" style="56" customWidth="1"/>
    <col min="8464" max="8465" width="11.5" style="56" customWidth="1"/>
    <col min="8466" max="8466" width="6.1640625" style="56" customWidth="1"/>
    <col min="8467" max="8467" width="22.83203125" style="56" customWidth="1"/>
    <col min="8468" max="8468" width="11.5" style="56" customWidth="1"/>
    <col min="8469" max="8469" width="13.83203125" style="56" customWidth="1"/>
    <col min="8470" max="8470" width="5.83203125" style="56" customWidth="1"/>
    <col min="8471" max="8471" width="15.5" style="56" customWidth="1"/>
    <col min="8472" max="8712" width="11.5" style="56"/>
    <col min="8713" max="8713" width="0.5" style="56" customWidth="1"/>
    <col min="8714" max="8714" width="3.1640625" style="56" customWidth="1"/>
    <col min="8715" max="8715" width="8.83203125" style="56" customWidth="1"/>
    <col min="8716" max="8716" width="14.83203125" style="56" customWidth="1"/>
    <col min="8717" max="8718" width="6.5" style="56" customWidth="1"/>
    <col min="8719" max="8719" width="14.83203125" style="56" customWidth="1"/>
    <col min="8720" max="8721" width="11.5" style="56" customWidth="1"/>
    <col min="8722" max="8722" width="6.1640625" style="56" customWidth="1"/>
    <col min="8723" max="8723" width="22.83203125" style="56" customWidth="1"/>
    <col min="8724" max="8724" width="11.5" style="56" customWidth="1"/>
    <col min="8725" max="8725" width="13.83203125" style="56" customWidth="1"/>
    <col min="8726" max="8726" width="5.83203125" style="56" customWidth="1"/>
    <col min="8727" max="8727" width="15.5" style="56" customWidth="1"/>
    <col min="8728" max="8968" width="11.5" style="56"/>
    <col min="8969" max="8969" width="0.5" style="56" customWidth="1"/>
    <col min="8970" max="8970" width="3.1640625" style="56" customWidth="1"/>
    <col min="8971" max="8971" width="8.83203125" style="56" customWidth="1"/>
    <col min="8972" max="8972" width="14.83203125" style="56" customWidth="1"/>
    <col min="8973" max="8974" width="6.5" style="56" customWidth="1"/>
    <col min="8975" max="8975" width="14.83203125" style="56" customWidth="1"/>
    <col min="8976" max="8977" width="11.5" style="56" customWidth="1"/>
    <col min="8978" max="8978" width="6.1640625" style="56" customWidth="1"/>
    <col min="8979" max="8979" width="22.83203125" style="56" customWidth="1"/>
    <col min="8980" max="8980" width="11.5" style="56" customWidth="1"/>
    <col min="8981" max="8981" width="13.83203125" style="56" customWidth="1"/>
    <col min="8982" max="8982" width="5.83203125" style="56" customWidth="1"/>
    <col min="8983" max="8983" width="15.5" style="56" customWidth="1"/>
    <col min="8984" max="9224" width="11.5" style="56"/>
    <col min="9225" max="9225" width="0.5" style="56" customWidth="1"/>
    <col min="9226" max="9226" width="3.1640625" style="56" customWidth="1"/>
    <col min="9227" max="9227" width="8.83203125" style="56" customWidth="1"/>
    <col min="9228" max="9228" width="14.83203125" style="56" customWidth="1"/>
    <col min="9229" max="9230" width="6.5" style="56" customWidth="1"/>
    <col min="9231" max="9231" width="14.83203125" style="56" customWidth="1"/>
    <col min="9232" max="9233" width="11.5" style="56" customWidth="1"/>
    <col min="9234" max="9234" width="6.1640625" style="56" customWidth="1"/>
    <col min="9235" max="9235" width="22.83203125" style="56" customWidth="1"/>
    <col min="9236" max="9236" width="11.5" style="56" customWidth="1"/>
    <col min="9237" max="9237" width="13.83203125" style="56" customWidth="1"/>
    <col min="9238" max="9238" width="5.83203125" style="56" customWidth="1"/>
    <col min="9239" max="9239" width="15.5" style="56" customWidth="1"/>
    <col min="9240" max="9480" width="11.5" style="56"/>
    <col min="9481" max="9481" width="0.5" style="56" customWidth="1"/>
    <col min="9482" max="9482" width="3.1640625" style="56" customWidth="1"/>
    <col min="9483" max="9483" width="8.83203125" style="56" customWidth="1"/>
    <col min="9484" max="9484" width="14.83203125" style="56" customWidth="1"/>
    <col min="9485" max="9486" width="6.5" style="56" customWidth="1"/>
    <col min="9487" max="9487" width="14.83203125" style="56" customWidth="1"/>
    <col min="9488" max="9489" width="11.5" style="56" customWidth="1"/>
    <col min="9490" max="9490" width="6.1640625" style="56" customWidth="1"/>
    <col min="9491" max="9491" width="22.83203125" style="56" customWidth="1"/>
    <col min="9492" max="9492" width="11.5" style="56" customWidth="1"/>
    <col min="9493" max="9493" width="13.83203125" style="56" customWidth="1"/>
    <col min="9494" max="9494" width="5.83203125" style="56" customWidth="1"/>
    <col min="9495" max="9495" width="15.5" style="56" customWidth="1"/>
    <col min="9496" max="9736" width="11.5" style="56"/>
    <col min="9737" max="9737" width="0.5" style="56" customWidth="1"/>
    <col min="9738" max="9738" width="3.1640625" style="56" customWidth="1"/>
    <col min="9739" max="9739" width="8.83203125" style="56" customWidth="1"/>
    <col min="9740" max="9740" width="14.83203125" style="56" customWidth="1"/>
    <col min="9741" max="9742" width="6.5" style="56" customWidth="1"/>
    <col min="9743" max="9743" width="14.83203125" style="56" customWidth="1"/>
    <col min="9744" max="9745" width="11.5" style="56" customWidth="1"/>
    <col min="9746" max="9746" width="6.1640625" style="56" customWidth="1"/>
    <col min="9747" max="9747" width="22.83203125" style="56" customWidth="1"/>
    <col min="9748" max="9748" width="11.5" style="56" customWidth="1"/>
    <col min="9749" max="9749" width="13.83203125" style="56" customWidth="1"/>
    <col min="9750" max="9750" width="5.83203125" style="56" customWidth="1"/>
    <col min="9751" max="9751" width="15.5" style="56" customWidth="1"/>
    <col min="9752" max="9992" width="11.5" style="56"/>
    <col min="9993" max="9993" width="0.5" style="56" customWidth="1"/>
    <col min="9994" max="9994" width="3.1640625" style="56" customWidth="1"/>
    <col min="9995" max="9995" width="8.83203125" style="56" customWidth="1"/>
    <col min="9996" max="9996" width="14.83203125" style="56" customWidth="1"/>
    <col min="9997" max="9998" width="6.5" style="56" customWidth="1"/>
    <col min="9999" max="9999" width="14.83203125" style="56" customWidth="1"/>
    <col min="10000" max="10001" width="11.5" style="56" customWidth="1"/>
    <col min="10002" max="10002" width="6.1640625" style="56" customWidth="1"/>
    <col min="10003" max="10003" width="22.83203125" style="56" customWidth="1"/>
    <col min="10004" max="10004" width="11.5" style="56" customWidth="1"/>
    <col min="10005" max="10005" width="13.83203125" style="56" customWidth="1"/>
    <col min="10006" max="10006" width="5.83203125" style="56" customWidth="1"/>
    <col min="10007" max="10007" width="15.5" style="56" customWidth="1"/>
    <col min="10008" max="10248" width="11.5" style="56"/>
    <col min="10249" max="10249" width="0.5" style="56" customWidth="1"/>
    <col min="10250" max="10250" width="3.1640625" style="56" customWidth="1"/>
    <col min="10251" max="10251" width="8.83203125" style="56" customWidth="1"/>
    <col min="10252" max="10252" width="14.83203125" style="56" customWidth="1"/>
    <col min="10253" max="10254" width="6.5" style="56" customWidth="1"/>
    <col min="10255" max="10255" width="14.83203125" style="56" customWidth="1"/>
    <col min="10256" max="10257" width="11.5" style="56" customWidth="1"/>
    <col min="10258" max="10258" width="6.1640625" style="56" customWidth="1"/>
    <col min="10259" max="10259" width="22.83203125" style="56" customWidth="1"/>
    <col min="10260" max="10260" width="11.5" style="56" customWidth="1"/>
    <col min="10261" max="10261" width="13.83203125" style="56" customWidth="1"/>
    <col min="10262" max="10262" width="5.83203125" style="56" customWidth="1"/>
    <col min="10263" max="10263" width="15.5" style="56" customWidth="1"/>
    <col min="10264" max="10504" width="11.5" style="56"/>
    <col min="10505" max="10505" width="0.5" style="56" customWidth="1"/>
    <col min="10506" max="10506" width="3.1640625" style="56" customWidth="1"/>
    <col min="10507" max="10507" width="8.83203125" style="56" customWidth="1"/>
    <col min="10508" max="10508" width="14.83203125" style="56" customWidth="1"/>
    <col min="10509" max="10510" width="6.5" style="56" customWidth="1"/>
    <col min="10511" max="10511" width="14.83203125" style="56" customWidth="1"/>
    <col min="10512" max="10513" width="11.5" style="56" customWidth="1"/>
    <col min="10514" max="10514" width="6.1640625" style="56" customWidth="1"/>
    <col min="10515" max="10515" width="22.83203125" style="56" customWidth="1"/>
    <col min="10516" max="10516" width="11.5" style="56" customWidth="1"/>
    <col min="10517" max="10517" width="13.83203125" style="56" customWidth="1"/>
    <col min="10518" max="10518" width="5.83203125" style="56" customWidth="1"/>
    <col min="10519" max="10519" width="15.5" style="56" customWidth="1"/>
    <col min="10520" max="10760" width="11.5" style="56"/>
    <col min="10761" max="10761" width="0.5" style="56" customWidth="1"/>
    <col min="10762" max="10762" width="3.1640625" style="56" customWidth="1"/>
    <col min="10763" max="10763" width="8.83203125" style="56" customWidth="1"/>
    <col min="10764" max="10764" width="14.83203125" style="56" customWidth="1"/>
    <col min="10765" max="10766" width="6.5" style="56" customWidth="1"/>
    <col min="10767" max="10767" width="14.83203125" style="56" customWidth="1"/>
    <col min="10768" max="10769" width="11.5" style="56" customWidth="1"/>
    <col min="10770" max="10770" width="6.1640625" style="56" customWidth="1"/>
    <col min="10771" max="10771" width="22.83203125" style="56" customWidth="1"/>
    <col min="10772" max="10772" width="11.5" style="56" customWidth="1"/>
    <col min="10773" max="10773" width="13.83203125" style="56" customWidth="1"/>
    <col min="10774" max="10774" width="5.83203125" style="56" customWidth="1"/>
    <col min="10775" max="10775" width="15.5" style="56" customWidth="1"/>
    <col min="10776" max="11016" width="11.5" style="56"/>
    <col min="11017" max="11017" width="0.5" style="56" customWidth="1"/>
    <col min="11018" max="11018" width="3.1640625" style="56" customWidth="1"/>
    <col min="11019" max="11019" width="8.83203125" style="56" customWidth="1"/>
    <col min="11020" max="11020" width="14.83203125" style="56" customWidth="1"/>
    <col min="11021" max="11022" width="6.5" style="56" customWidth="1"/>
    <col min="11023" max="11023" width="14.83203125" style="56" customWidth="1"/>
    <col min="11024" max="11025" width="11.5" style="56" customWidth="1"/>
    <col min="11026" max="11026" width="6.1640625" style="56" customWidth="1"/>
    <col min="11027" max="11027" width="22.83203125" style="56" customWidth="1"/>
    <col min="11028" max="11028" width="11.5" style="56" customWidth="1"/>
    <col min="11029" max="11029" width="13.83203125" style="56" customWidth="1"/>
    <col min="11030" max="11030" width="5.83203125" style="56" customWidth="1"/>
    <col min="11031" max="11031" width="15.5" style="56" customWidth="1"/>
    <col min="11032" max="11272" width="11.5" style="56"/>
    <col min="11273" max="11273" width="0.5" style="56" customWidth="1"/>
    <col min="11274" max="11274" width="3.1640625" style="56" customWidth="1"/>
    <col min="11275" max="11275" width="8.83203125" style="56" customWidth="1"/>
    <col min="11276" max="11276" width="14.83203125" style="56" customWidth="1"/>
    <col min="11277" max="11278" width="6.5" style="56" customWidth="1"/>
    <col min="11279" max="11279" width="14.83203125" style="56" customWidth="1"/>
    <col min="11280" max="11281" width="11.5" style="56" customWidth="1"/>
    <col min="11282" max="11282" width="6.1640625" style="56" customWidth="1"/>
    <col min="11283" max="11283" width="22.83203125" style="56" customWidth="1"/>
    <col min="11284" max="11284" width="11.5" style="56" customWidth="1"/>
    <col min="11285" max="11285" width="13.83203125" style="56" customWidth="1"/>
    <col min="11286" max="11286" width="5.83203125" style="56" customWidth="1"/>
    <col min="11287" max="11287" width="15.5" style="56" customWidth="1"/>
    <col min="11288" max="11528" width="11.5" style="56"/>
    <col min="11529" max="11529" width="0.5" style="56" customWidth="1"/>
    <col min="11530" max="11530" width="3.1640625" style="56" customWidth="1"/>
    <col min="11531" max="11531" width="8.83203125" style="56" customWidth="1"/>
    <col min="11532" max="11532" width="14.83203125" style="56" customWidth="1"/>
    <col min="11533" max="11534" width="6.5" style="56" customWidth="1"/>
    <col min="11535" max="11535" width="14.83203125" style="56" customWidth="1"/>
    <col min="11536" max="11537" width="11.5" style="56" customWidth="1"/>
    <col min="11538" max="11538" width="6.1640625" style="56" customWidth="1"/>
    <col min="11539" max="11539" width="22.83203125" style="56" customWidth="1"/>
    <col min="11540" max="11540" width="11.5" style="56" customWidth="1"/>
    <col min="11541" max="11541" width="13.83203125" style="56" customWidth="1"/>
    <col min="11542" max="11542" width="5.83203125" style="56" customWidth="1"/>
    <col min="11543" max="11543" width="15.5" style="56" customWidth="1"/>
    <col min="11544" max="11784" width="11.5" style="56"/>
    <col min="11785" max="11785" width="0.5" style="56" customWidth="1"/>
    <col min="11786" max="11786" width="3.1640625" style="56" customWidth="1"/>
    <col min="11787" max="11787" width="8.83203125" style="56" customWidth="1"/>
    <col min="11788" max="11788" width="14.83203125" style="56" customWidth="1"/>
    <col min="11789" max="11790" width="6.5" style="56" customWidth="1"/>
    <col min="11791" max="11791" width="14.83203125" style="56" customWidth="1"/>
    <col min="11792" max="11793" width="11.5" style="56" customWidth="1"/>
    <col min="11794" max="11794" width="6.1640625" style="56" customWidth="1"/>
    <col min="11795" max="11795" width="22.83203125" style="56" customWidth="1"/>
    <col min="11796" max="11796" width="11.5" style="56" customWidth="1"/>
    <col min="11797" max="11797" width="13.83203125" style="56" customWidth="1"/>
    <col min="11798" max="11798" width="5.83203125" style="56" customWidth="1"/>
    <col min="11799" max="11799" width="15.5" style="56" customWidth="1"/>
    <col min="11800" max="12040" width="11.5" style="56"/>
    <col min="12041" max="12041" width="0.5" style="56" customWidth="1"/>
    <col min="12042" max="12042" width="3.1640625" style="56" customWidth="1"/>
    <col min="12043" max="12043" width="8.83203125" style="56" customWidth="1"/>
    <col min="12044" max="12044" width="14.83203125" style="56" customWidth="1"/>
    <col min="12045" max="12046" width="6.5" style="56" customWidth="1"/>
    <col min="12047" max="12047" width="14.83203125" style="56" customWidth="1"/>
    <col min="12048" max="12049" width="11.5" style="56" customWidth="1"/>
    <col min="12050" max="12050" width="6.1640625" style="56" customWidth="1"/>
    <col min="12051" max="12051" width="22.83203125" style="56" customWidth="1"/>
    <col min="12052" max="12052" width="11.5" style="56" customWidth="1"/>
    <col min="12053" max="12053" width="13.83203125" style="56" customWidth="1"/>
    <col min="12054" max="12054" width="5.83203125" style="56" customWidth="1"/>
    <col min="12055" max="12055" width="15.5" style="56" customWidth="1"/>
    <col min="12056" max="12296" width="11.5" style="56"/>
    <col min="12297" max="12297" width="0.5" style="56" customWidth="1"/>
    <col min="12298" max="12298" width="3.1640625" style="56" customWidth="1"/>
    <col min="12299" max="12299" width="8.83203125" style="56" customWidth="1"/>
    <col min="12300" max="12300" width="14.83203125" style="56" customWidth="1"/>
    <col min="12301" max="12302" width="6.5" style="56" customWidth="1"/>
    <col min="12303" max="12303" width="14.83203125" style="56" customWidth="1"/>
    <col min="12304" max="12305" width="11.5" style="56" customWidth="1"/>
    <col min="12306" max="12306" width="6.1640625" style="56" customWidth="1"/>
    <col min="12307" max="12307" width="22.83203125" style="56" customWidth="1"/>
    <col min="12308" max="12308" width="11.5" style="56" customWidth="1"/>
    <col min="12309" max="12309" width="13.83203125" style="56" customWidth="1"/>
    <col min="12310" max="12310" width="5.83203125" style="56" customWidth="1"/>
    <col min="12311" max="12311" width="15.5" style="56" customWidth="1"/>
    <col min="12312" max="12552" width="11.5" style="56"/>
    <col min="12553" max="12553" width="0.5" style="56" customWidth="1"/>
    <col min="12554" max="12554" width="3.1640625" style="56" customWidth="1"/>
    <col min="12555" max="12555" width="8.83203125" style="56" customWidth="1"/>
    <col min="12556" max="12556" width="14.83203125" style="56" customWidth="1"/>
    <col min="12557" max="12558" width="6.5" style="56" customWidth="1"/>
    <col min="12559" max="12559" width="14.83203125" style="56" customWidth="1"/>
    <col min="12560" max="12561" width="11.5" style="56" customWidth="1"/>
    <col min="12562" max="12562" width="6.1640625" style="56" customWidth="1"/>
    <col min="12563" max="12563" width="22.83203125" style="56" customWidth="1"/>
    <col min="12564" max="12564" width="11.5" style="56" customWidth="1"/>
    <col min="12565" max="12565" width="13.83203125" style="56" customWidth="1"/>
    <col min="12566" max="12566" width="5.83203125" style="56" customWidth="1"/>
    <col min="12567" max="12567" width="15.5" style="56" customWidth="1"/>
    <col min="12568" max="12808" width="11.5" style="56"/>
    <col min="12809" max="12809" width="0.5" style="56" customWidth="1"/>
    <col min="12810" max="12810" width="3.1640625" style="56" customWidth="1"/>
    <col min="12811" max="12811" width="8.83203125" style="56" customWidth="1"/>
    <col min="12812" max="12812" width="14.83203125" style="56" customWidth="1"/>
    <col min="12813" max="12814" width="6.5" style="56" customWidth="1"/>
    <col min="12815" max="12815" width="14.83203125" style="56" customWidth="1"/>
    <col min="12816" max="12817" width="11.5" style="56" customWidth="1"/>
    <col min="12818" max="12818" width="6.1640625" style="56" customWidth="1"/>
    <col min="12819" max="12819" width="22.83203125" style="56" customWidth="1"/>
    <col min="12820" max="12820" width="11.5" style="56" customWidth="1"/>
    <col min="12821" max="12821" width="13.83203125" style="56" customWidth="1"/>
    <col min="12822" max="12822" width="5.83203125" style="56" customWidth="1"/>
    <col min="12823" max="12823" width="15.5" style="56" customWidth="1"/>
    <col min="12824" max="13064" width="11.5" style="56"/>
    <col min="13065" max="13065" width="0.5" style="56" customWidth="1"/>
    <col min="13066" max="13066" width="3.1640625" style="56" customWidth="1"/>
    <col min="13067" max="13067" width="8.83203125" style="56" customWidth="1"/>
    <col min="13068" max="13068" width="14.83203125" style="56" customWidth="1"/>
    <col min="13069" max="13070" width="6.5" style="56" customWidth="1"/>
    <col min="13071" max="13071" width="14.83203125" style="56" customWidth="1"/>
    <col min="13072" max="13073" width="11.5" style="56" customWidth="1"/>
    <col min="13074" max="13074" width="6.1640625" style="56" customWidth="1"/>
    <col min="13075" max="13075" width="22.83203125" style="56" customWidth="1"/>
    <col min="13076" max="13076" width="11.5" style="56" customWidth="1"/>
    <col min="13077" max="13077" width="13.83203125" style="56" customWidth="1"/>
    <col min="13078" max="13078" width="5.83203125" style="56" customWidth="1"/>
    <col min="13079" max="13079" width="15.5" style="56" customWidth="1"/>
    <col min="13080" max="13320" width="11.5" style="56"/>
    <col min="13321" max="13321" width="0.5" style="56" customWidth="1"/>
    <col min="13322" max="13322" width="3.1640625" style="56" customWidth="1"/>
    <col min="13323" max="13323" width="8.83203125" style="56" customWidth="1"/>
    <col min="13324" max="13324" width="14.83203125" style="56" customWidth="1"/>
    <col min="13325" max="13326" width="6.5" style="56" customWidth="1"/>
    <col min="13327" max="13327" width="14.83203125" style="56" customWidth="1"/>
    <col min="13328" max="13329" width="11.5" style="56" customWidth="1"/>
    <col min="13330" max="13330" width="6.1640625" style="56" customWidth="1"/>
    <col min="13331" max="13331" width="22.83203125" style="56" customWidth="1"/>
    <col min="13332" max="13332" width="11.5" style="56" customWidth="1"/>
    <col min="13333" max="13333" width="13.83203125" style="56" customWidth="1"/>
    <col min="13334" max="13334" width="5.83203125" style="56" customWidth="1"/>
    <col min="13335" max="13335" width="15.5" style="56" customWidth="1"/>
    <col min="13336" max="13576" width="11.5" style="56"/>
    <col min="13577" max="13577" width="0.5" style="56" customWidth="1"/>
    <col min="13578" max="13578" width="3.1640625" style="56" customWidth="1"/>
    <col min="13579" max="13579" width="8.83203125" style="56" customWidth="1"/>
    <col min="13580" max="13580" width="14.83203125" style="56" customWidth="1"/>
    <col min="13581" max="13582" width="6.5" style="56" customWidth="1"/>
    <col min="13583" max="13583" width="14.83203125" style="56" customWidth="1"/>
    <col min="13584" max="13585" width="11.5" style="56" customWidth="1"/>
    <col min="13586" max="13586" width="6.1640625" style="56" customWidth="1"/>
    <col min="13587" max="13587" width="22.83203125" style="56" customWidth="1"/>
    <col min="13588" max="13588" width="11.5" style="56" customWidth="1"/>
    <col min="13589" max="13589" width="13.83203125" style="56" customWidth="1"/>
    <col min="13590" max="13590" width="5.83203125" style="56" customWidth="1"/>
    <col min="13591" max="13591" width="15.5" style="56" customWidth="1"/>
    <col min="13592" max="13832" width="11.5" style="56"/>
    <col min="13833" max="13833" width="0.5" style="56" customWidth="1"/>
    <col min="13834" max="13834" width="3.1640625" style="56" customWidth="1"/>
    <col min="13835" max="13835" width="8.83203125" style="56" customWidth="1"/>
    <col min="13836" max="13836" width="14.83203125" style="56" customWidth="1"/>
    <col min="13837" max="13838" width="6.5" style="56" customWidth="1"/>
    <col min="13839" max="13839" width="14.83203125" style="56" customWidth="1"/>
    <col min="13840" max="13841" width="11.5" style="56" customWidth="1"/>
    <col min="13842" max="13842" width="6.1640625" style="56" customWidth="1"/>
    <col min="13843" max="13843" width="22.83203125" style="56" customWidth="1"/>
    <col min="13844" max="13844" width="11.5" style="56" customWidth="1"/>
    <col min="13845" max="13845" width="13.83203125" style="56" customWidth="1"/>
    <col min="13846" max="13846" width="5.83203125" style="56" customWidth="1"/>
    <col min="13847" max="13847" width="15.5" style="56" customWidth="1"/>
    <col min="13848" max="14088" width="11.5" style="56"/>
    <col min="14089" max="14089" width="0.5" style="56" customWidth="1"/>
    <col min="14090" max="14090" width="3.1640625" style="56" customWidth="1"/>
    <col min="14091" max="14091" width="8.83203125" style="56" customWidth="1"/>
    <col min="14092" max="14092" width="14.83203125" style="56" customWidth="1"/>
    <col min="14093" max="14094" width="6.5" style="56" customWidth="1"/>
    <col min="14095" max="14095" width="14.83203125" style="56" customWidth="1"/>
    <col min="14096" max="14097" width="11.5" style="56" customWidth="1"/>
    <col min="14098" max="14098" width="6.1640625" style="56" customWidth="1"/>
    <col min="14099" max="14099" width="22.83203125" style="56" customWidth="1"/>
    <col min="14100" max="14100" width="11.5" style="56" customWidth="1"/>
    <col min="14101" max="14101" width="13.83203125" style="56" customWidth="1"/>
    <col min="14102" max="14102" width="5.83203125" style="56" customWidth="1"/>
    <col min="14103" max="14103" width="15.5" style="56" customWidth="1"/>
    <col min="14104" max="14344" width="11.5" style="56"/>
    <col min="14345" max="14345" width="0.5" style="56" customWidth="1"/>
    <col min="14346" max="14346" width="3.1640625" style="56" customWidth="1"/>
    <col min="14347" max="14347" width="8.83203125" style="56" customWidth="1"/>
    <col min="14348" max="14348" width="14.83203125" style="56" customWidth="1"/>
    <col min="14349" max="14350" width="6.5" style="56" customWidth="1"/>
    <col min="14351" max="14351" width="14.83203125" style="56" customWidth="1"/>
    <col min="14352" max="14353" width="11.5" style="56" customWidth="1"/>
    <col min="14354" max="14354" width="6.1640625" style="56" customWidth="1"/>
    <col min="14355" max="14355" width="22.83203125" style="56" customWidth="1"/>
    <col min="14356" max="14356" width="11.5" style="56" customWidth="1"/>
    <col min="14357" max="14357" width="13.83203125" style="56" customWidth="1"/>
    <col min="14358" max="14358" width="5.83203125" style="56" customWidth="1"/>
    <col min="14359" max="14359" width="15.5" style="56" customWidth="1"/>
    <col min="14360" max="14600" width="11.5" style="56"/>
    <col min="14601" max="14601" width="0.5" style="56" customWidth="1"/>
    <col min="14602" max="14602" width="3.1640625" style="56" customWidth="1"/>
    <col min="14603" max="14603" width="8.83203125" style="56" customWidth="1"/>
    <col min="14604" max="14604" width="14.83203125" style="56" customWidth="1"/>
    <col min="14605" max="14606" width="6.5" style="56" customWidth="1"/>
    <col min="14607" max="14607" width="14.83203125" style="56" customWidth="1"/>
    <col min="14608" max="14609" width="11.5" style="56" customWidth="1"/>
    <col min="14610" max="14610" width="6.1640625" style="56" customWidth="1"/>
    <col min="14611" max="14611" width="22.83203125" style="56" customWidth="1"/>
    <col min="14612" max="14612" width="11.5" style="56" customWidth="1"/>
    <col min="14613" max="14613" width="13.83203125" style="56" customWidth="1"/>
    <col min="14614" max="14614" width="5.83203125" style="56" customWidth="1"/>
    <col min="14615" max="14615" width="15.5" style="56" customWidth="1"/>
    <col min="14616" max="14856" width="11.5" style="56"/>
    <col min="14857" max="14857" width="0.5" style="56" customWidth="1"/>
    <col min="14858" max="14858" width="3.1640625" style="56" customWidth="1"/>
    <col min="14859" max="14859" width="8.83203125" style="56" customWidth="1"/>
    <col min="14860" max="14860" width="14.83203125" style="56" customWidth="1"/>
    <col min="14861" max="14862" width="6.5" style="56" customWidth="1"/>
    <col min="14863" max="14863" width="14.83203125" style="56" customWidth="1"/>
    <col min="14864" max="14865" width="11.5" style="56" customWidth="1"/>
    <col min="14866" max="14866" width="6.1640625" style="56" customWidth="1"/>
    <col min="14867" max="14867" width="22.83203125" style="56" customWidth="1"/>
    <col min="14868" max="14868" width="11.5" style="56" customWidth="1"/>
    <col min="14869" max="14869" width="13.83203125" style="56" customWidth="1"/>
    <col min="14870" max="14870" width="5.83203125" style="56" customWidth="1"/>
    <col min="14871" max="14871" width="15.5" style="56" customWidth="1"/>
    <col min="14872" max="15112" width="11.5" style="56"/>
    <col min="15113" max="15113" width="0.5" style="56" customWidth="1"/>
    <col min="15114" max="15114" width="3.1640625" style="56" customWidth="1"/>
    <col min="15115" max="15115" width="8.83203125" style="56" customWidth="1"/>
    <col min="15116" max="15116" width="14.83203125" style="56" customWidth="1"/>
    <col min="15117" max="15118" width="6.5" style="56" customWidth="1"/>
    <col min="15119" max="15119" width="14.83203125" style="56" customWidth="1"/>
    <col min="15120" max="15121" width="11.5" style="56" customWidth="1"/>
    <col min="15122" max="15122" width="6.1640625" style="56" customWidth="1"/>
    <col min="15123" max="15123" width="22.83203125" style="56" customWidth="1"/>
    <col min="15124" max="15124" width="11.5" style="56" customWidth="1"/>
    <col min="15125" max="15125" width="13.83203125" style="56" customWidth="1"/>
    <col min="15126" max="15126" width="5.83203125" style="56" customWidth="1"/>
    <col min="15127" max="15127" width="15.5" style="56" customWidth="1"/>
    <col min="15128" max="15368" width="11.5" style="56"/>
    <col min="15369" max="15369" width="0.5" style="56" customWidth="1"/>
    <col min="15370" max="15370" width="3.1640625" style="56" customWidth="1"/>
    <col min="15371" max="15371" width="8.83203125" style="56" customWidth="1"/>
    <col min="15372" max="15372" width="14.83203125" style="56" customWidth="1"/>
    <col min="15373" max="15374" width="6.5" style="56" customWidth="1"/>
    <col min="15375" max="15375" width="14.83203125" style="56" customWidth="1"/>
    <col min="15376" max="15377" width="11.5" style="56" customWidth="1"/>
    <col min="15378" max="15378" width="6.1640625" style="56" customWidth="1"/>
    <col min="15379" max="15379" width="22.83203125" style="56" customWidth="1"/>
    <col min="15380" max="15380" width="11.5" style="56" customWidth="1"/>
    <col min="15381" max="15381" width="13.83203125" style="56" customWidth="1"/>
    <col min="15382" max="15382" width="5.83203125" style="56" customWidth="1"/>
    <col min="15383" max="15383" width="15.5" style="56" customWidth="1"/>
    <col min="15384" max="15624" width="11.5" style="56"/>
    <col min="15625" max="15625" width="0.5" style="56" customWidth="1"/>
    <col min="15626" max="15626" width="3.1640625" style="56" customWidth="1"/>
    <col min="15627" max="15627" width="8.83203125" style="56" customWidth="1"/>
    <col min="15628" max="15628" width="14.83203125" style="56" customWidth="1"/>
    <col min="15629" max="15630" width="6.5" style="56" customWidth="1"/>
    <col min="15631" max="15631" width="14.83203125" style="56" customWidth="1"/>
    <col min="15632" max="15633" width="11.5" style="56" customWidth="1"/>
    <col min="15634" max="15634" width="6.1640625" style="56" customWidth="1"/>
    <col min="15635" max="15635" width="22.83203125" style="56" customWidth="1"/>
    <col min="15636" max="15636" width="11.5" style="56" customWidth="1"/>
    <col min="15637" max="15637" width="13.83203125" style="56" customWidth="1"/>
    <col min="15638" max="15638" width="5.83203125" style="56" customWidth="1"/>
    <col min="15639" max="15639" width="15.5" style="56" customWidth="1"/>
    <col min="15640" max="15880" width="11.5" style="56"/>
    <col min="15881" max="15881" width="0.5" style="56" customWidth="1"/>
    <col min="15882" max="15882" width="3.1640625" style="56" customWidth="1"/>
    <col min="15883" max="15883" width="8.83203125" style="56" customWidth="1"/>
    <col min="15884" max="15884" width="14.83203125" style="56" customWidth="1"/>
    <col min="15885" max="15886" width="6.5" style="56" customWidth="1"/>
    <col min="15887" max="15887" width="14.83203125" style="56" customWidth="1"/>
    <col min="15888" max="15889" width="11.5" style="56" customWidth="1"/>
    <col min="15890" max="15890" width="6.1640625" style="56" customWidth="1"/>
    <col min="15891" max="15891" width="22.83203125" style="56" customWidth="1"/>
    <col min="15892" max="15892" width="11.5" style="56" customWidth="1"/>
    <col min="15893" max="15893" width="13.83203125" style="56" customWidth="1"/>
    <col min="15894" max="15894" width="5.83203125" style="56" customWidth="1"/>
    <col min="15895" max="15895" width="15.5" style="56" customWidth="1"/>
    <col min="15896" max="16136" width="11.5" style="56"/>
    <col min="16137" max="16137" width="0.5" style="56" customWidth="1"/>
    <col min="16138" max="16138" width="3.1640625" style="56" customWidth="1"/>
    <col min="16139" max="16139" width="8.83203125" style="56" customWidth="1"/>
    <col min="16140" max="16140" width="14.83203125" style="56" customWidth="1"/>
    <col min="16141" max="16142" width="6.5" style="56" customWidth="1"/>
    <col min="16143" max="16143" width="14.83203125" style="56" customWidth="1"/>
    <col min="16144" max="16145" width="11.5" style="56" customWidth="1"/>
    <col min="16146" max="16146" width="6.1640625" style="56" customWidth="1"/>
    <col min="16147" max="16147" width="22.83203125" style="56" customWidth="1"/>
    <col min="16148" max="16148" width="11.5" style="56" customWidth="1"/>
    <col min="16149" max="16149" width="13.83203125" style="56" customWidth="1"/>
    <col min="16150" max="16150" width="5.83203125" style="56" customWidth="1"/>
    <col min="16151" max="16151" width="15.5" style="56" customWidth="1"/>
    <col min="16152" max="16384" width="11.5" style="56"/>
  </cols>
  <sheetData>
    <row r="1" spans="1:34" ht="8" customHeight="1">
      <c r="Q1" s="91"/>
      <c r="R1" s="91"/>
    </row>
    <row r="2" spans="1:34" ht="5" customHeight="1" thickBot="1">
      <c r="Q2" s="89"/>
      <c r="R2" s="89"/>
    </row>
    <row r="3" spans="1:34" s="57" customFormat="1" ht="17" customHeight="1">
      <c r="A3" s="472"/>
      <c r="B3" s="576" t="s">
        <v>115</v>
      </c>
      <c r="C3" s="577"/>
      <c r="D3" s="577"/>
      <c r="E3" s="577"/>
      <c r="F3" s="577"/>
      <c r="G3" s="577"/>
      <c r="H3" s="577"/>
      <c r="I3" s="577"/>
      <c r="J3" s="578"/>
      <c r="K3" s="95"/>
      <c r="L3" s="58"/>
      <c r="M3" s="58"/>
      <c r="N3" s="92"/>
      <c r="O3" s="93"/>
      <c r="Q3" s="90"/>
      <c r="R3" s="90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301"/>
    </row>
    <row r="4" spans="1:34" ht="6" customHeight="1" thickBot="1">
      <c r="B4" s="579"/>
      <c r="C4" s="580"/>
      <c r="D4" s="580"/>
      <c r="E4" s="580"/>
      <c r="F4" s="580"/>
      <c r="G4" s="580"/>
      <c r="H4" s="580"/>
      <c r="I4" s="580"/>
      <c r="J4" s="581"/>
      <c r="K4" s="95"/>
      <c r="L4" s="58"/>
      <c r="M4" s="58"/>
      <c r="N4" s="93"/>
      <c r="O4" s="93"/>
      <c r="P4" s="58"/>
      <c r="Q4" s="59"/>
      <c r="R4" s="59"/>
    </row>
    <row r="5" spans="1:34" ht="15" customHeight="1">
      <c r="B5" s="582" t="s">
        <v>283</v>
      </c>
      <c r="C5" s="583"/>
      <c r="D5" s="583"/>
      <c r="E5" s="583"/>
      <c r="F5" s="583" t="s">
        <v>27</v>
      </c>
      <c r="G5" s="583"/>
      <c r="H5" s="583"/>
      <c r="I5" s="583"/>
      <c r="J5" s="589"/>
      <c r="K5" s="584" t="s">
        <v>142</v>
      </c>
      <c r="L5" s="585"/>
      <c r="M5" s="585"/>
      <c r="N5" s="585" t="s">
        <v>365</v>
      </c>
      <c r="O5" s="585"/>
      <c r="P5" s="588"/>
      <c r="Q5" s="345" t="s">
        <v>143</v>
      </c>
      <c r="R5" s="92"/>
    </row>
    <row r="6" spans="1:34" ht="17" customHeight="1" thickBot="1">
      <c r="B6" s="592" t="str">
        <f>IF(Start!$D$4="","Dr. Max Mustermann",Start!$D$4)</f>
        <v>Dr. Max Mustermann</v>
      </c>
      <c r="C6" s="593"/>
      <c r="D6" s="593"/>
      <c r="E6" s="593"/>
      <c r="F6" s="593" t="str">
        <f>Start!$D$8</f>
        <v>Ärztin/Arzt in Ausbildung_BSO1994</v>
      </c>
      <c r="G6" s="593"/>
      <c r="H6" s="593"/>
      <c r="I6" s="593"/>
      <c r="J6" s="594"/>
      <c r="K6" s="590">
        <f>IF(SUM(N14:O44,L13:L44,AA51:AD51,AA52:AB52)=0,Datenblatt!J109,SUM(N14:O44,L13:L44,AA51:AD51,AA52:AB52,AH51:AH52))</f>
        <v>220.8</v>
      </c>
      <c r="L6" s="591"/>
      <c r="M6" s="591"/>
      <c r="N6" s="586">
        <f>COUNTIF(D14:E44,"ND")+COUNTIF(D14:E44,"ND12,5")</f>
        <v>0</v>
      </c>
      <c r="O6" s="586"/>
      <c r="P6" s="587"/>
      <c r="Q6" s="346">
        <f>IF(OR(Start!$D$10="",Start!$E$10=""),"",IF(Start!$D$8=Gehalt!$K$32,VLOOKUP($H$8,Gehalt!$A$4:$I$22,3,FALSE),IF(Start!$D$8=Gehalt!$K$33,VLOOKUP($H$8,Gehalt!$A$4:$I$22,4,FALSE),IF(Start!$D$8=Gehalt!$K$34,VLOOKUP($H$8,Gehalt!$A$4:$I$22,5,FALSE),IF(Start!$D$8=Gehalt!$K$35,VLOOKUP($H$8,Gehalt!$A$4:$I$22,6,FALSE),IF(Start!$D$8=Gehalt!$K$36,VLOOKUP($H$8,Gehalt!$A$4:$I$22,7,FALSE),IF(Start!$D$8=Gehalt!$K$37,VLOOKUP($H$8,Gehalt!$A$4:$I$22,6,FALSE),IF(Start!$D$8=Gehalt!$K$38,VLOOKUP($H$8,Gehalt!$A$4:$I$22,8,FALSE),IF(Start!$D$8=Gehalt!$K$39,VLOOKUP($H$8,Gehalt!$A$4:$I$22,8,FALSE),IF(Start!$D$8=Gehalt!$K$40,VLOOKUP($H$8,Gehalt!$A$4:$I$22,9,FALSE),IF(Start!$D$8=Gehalt!$K$41,VLOOKUP($H$8,Gehalt!$A$4:$I$22,9,FALSE))))))))))))</f>
        <v>5365.31</v>
      </c>
      <c r="R6" s="92"/>
      <c r="S6" s="92"/>
    </row>
    <row r="7" spans="1:34" ht="15" customHeight="1">
      <c r="B7" s="582" t="s">
        <v>26</v>
      </c>
      <c r="C7" s="583"/>
      <c r="D7" s="108" t="s">
        <v>25</v>
      </c>
      <c r="E7" s="583" t="s">
        <v>43</v>
      </c>
      <c r="F7" s="583"/>
      <c r="G7" s="583"/>
      <c r="H7" s="583" t="s">
        <v>91</v>
      </c>
      <c r="I7" s="583"/>
      <c r="J7" s="589"/>
      <c r="K7" s="584" t="s">
        <v>80</v>
      </c>
      <c r="L7" s="585"/>
      <c r="M7" s="585"/>
      <c r="N7" s="585" t="s">
        <v>81</v>
      </c>
      <c r="O7" s="585"/>
      <c r="P7" s="588"/>
      <c r="Q7" s="345" t="s">
        <v>144</v>
      </c>
      <c r="R7" s="191"/>
      <c r="S7" s="101"/>
      <c r="U7" s="242"/>
      <c r="AA7" s="242"/>
    </row>
    <row r="8" spans="1:34" s="59" customFormat="1" ht="17" customHeight="1" thickBot="1">
      <c r="A8" s="471"/>
      <c r="B8" s="595">
        <f>DATE($D$8,10,1)</f>
        <v>45566</v>
      </c>
      <c r="C8" s="596"/>
      <c r="D8" s="349">
        <f>Start!$D$2</f>
        <v>2024</v>
      </c>
      <c r="E8" s="601">
        <f>($K$6)/((VLOOKUP($B$8,Datenblatt!$A$100:$G$112,7,FALSE)*0.2)-(0.2*$D$59))</f>
        <v>48</v>
      </c>
      <c r="F8" s="601"/>
      <c r="G8" s="601"/>
      <c r="H8" s="602">
        <f>IF(OR(Start!$D$10="",Start!$E$10=""),"",IF(($C$14&lt;Start!$D$10),Start!$E$10,VLOOKUP(Start!$E$10,Gehalt!$A$4:$B$22,2,FALSE)))</f>
        <v>4</v>
      </c>
      <c r="I8" s="602"/>
      <c r="J8" s="603"/>
      <c r="K8" s="597">
        <f>SUM(M13:M44)</f>
        <v>0</v>
      </c>
      <c r="L8" s="598"/>
      <c r="M8" s="598"/>
      <c r="N8" s="591">
        <f>VLOOKUP($B$8,Datenblatt!A100:F112,6,FALSE)</f>
        <v>184</v>
      </c>
      <c r="O8" s="591"/>
      <c r="P8" s="599"/>
      <c r="Q8" s="346">
        <f ca="1">IF($L$50="","",SUM($L$50:$L$59))</f>
        <v>10730.62</v>
      </c>
      <c r="R8" s="100"/>
      <c r="S8" s="101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302"/>
    </row>
    <row r="9" spans="1:34" s="60" customFormat="1" ht="4.25" customHeight="1">
      <c r="A9" s="473"/>
      <c r="B9" s="559" t="s">
        <v>116</v>
      </c>
      <c r="C9" s="560"/>
      <c r="D9" s="565" t="s">
        <v>124</v>
      </c>
      <c r="E9" s="565" t="s">
        <v>174</v>
      </c>
      <c r="F9" s="568" t="s">
        <v>79</v>
      </c>
      <c r="G9" s="569"/>
      <c r="H9" s="568" t="s">
        <v>109</v>
      </c>
      <c r="I9" s="569"/>
      <c r="J9" s="565" t="s">
        <v>117</v>
      </c>
      <c r="K9" s="556" t="s">
        <v>82</v>
      </c>
      <c r="L9" s="556" t="s">
        <v>130</v>
      </c>
      <c r="M9" s="556" t="s">
        <v>114</v>
      </c>
      <c r="N9" s="556" t="s">
        <v>79</v>
      </c>
      <c r="O9" s="556" t="s">
        <v>109</v>
      </c>
      <c r="P9" s="553" t="s">
        <v>134</v>
      </c>
      <c r="Q9" s="535" t="s">
        <v>125</v>
      </c>
      <c r="R9" s="537" t="s">
        <v>173</v>
      </c>
      <c r="S9" s="573" t="s">
        <v>165</v>
      </c>
      <c r="T9" s="233"/>
      <c r="U9" s="234"/>
      <c r="V9" s="234"/>
      <c r="W9" s="234"/>
      <c r="X9" s="234"/>
      <c r="Y9" s="234"/>
      <c r="Z9" s="233"/>
      <c r="AA9" s="234"/>
      <c r="AB9" s="234"/>
      <c r="AC9" s="234"/>
      <c r="AD9" s="234"/>
      <c r="AE9" s="234"/>
      <c r="AF9" s="234"/>
      <c r="AG9" s="234"/>
      <c r="AH9" s="301"/>
    </row>
    <row r="10" spans="1:34" ht="14.5" customHeight="1">
      <c r="B10" s="561"/>
      <c r="C10" s="562"/>
      <c r="D10" s="566"/>
      <c r="E10" s="566"/>
      <c r="F10" s="570"/>
      <c r="G10" s="571"/>
      <c r="H10" s="570"/>
      <c r="I10" s="571"/>
      <c r="J10" s="566"/>
      <c r="K10" s="557"/>
      <c r="L10" s="557"/>
      <c r="M10" s="557"/>
      <c r="N10" s="557"/>
      <c r="O10" s="557"/>
      <c r="P10" s="554"/>
      <c r="Q10" s="535"/>
      <c r="R10" s="535"/>
      <c r="S10" s="574"/>
      <c r="T10" s="233"/>
      <c r="U10" s="572" t="s">
        <v>108</v>
      </c>
      <c r="V10" s="572"/>
      <c r="W10" s="572"/>
      <c r="X10" s="572"/>
      <c r="Y10" s="572"/>
      <c r="Z10" s="249"/>
      <c r="AA10" s="572" t="s">
        <v>168</v>
      </c>
      <c r="AB10" s="572"/>
      <c r="AC10" s="572"/>
      <c r="AD10" s="572"/>
      <c r="AE10" s="572"/>
      <c r="AF10" s="552" t="s">
        <v>232</v>
      </c>
      <c r="AG10" s="552" t="s">
        <v>233</v>
      </c>
    </row>
    <row r="11" spans="1:34" ht="13" customHeight="1" thickBot="1">
      <c r="B11" s="563"/>
      <c r="C11" s="564"/>
      <c r="D11" s="567"/>
      <c r="E11" s="567"/>
      <c r="F11" s="97" t="s">
        <v>14</v>
      </c>
      <c r="G11" s="98" t="s">
        <v>15</v>
      </c>
      <c r="H11" s="97" t="s">
        <v>14</v>
      </c>
      <c r="I11" s="98" t="s">
        <v>15</v>
      </c>
      <c r="J11" s="567"/>
      <c r="K11" s="558"/>
      <c r="L11" s="558"/>
      <c r="M11" s="558"/>
      <c r="N11" s="558"/>
      <c r="O11" s="558"/>
      <c r="P11" s="555"/>
      <c r="Q11" s="536"/>
      <c r="R11" s="536"/>
      <c r="S11" s="575"/>
      <c r="T11" s="109"/>
      <c r="U11" s="245" t="s">
        <v>105</v>
      </c>
      <c r="V11" s="246" t="s">
        <v>106</v>
      </c>
      <c r="W11" s="247" t="s">
        <v>107</v>
      </c>
      <c r="X11" s="246" t="s">
        <v>176</v>
      </c>
      <c r="Y11" s="246" t="s">
        <v>175</v>
      </c>
      <c r="Z11" s="248"/>
      <c r="AA11" s="245" t="s">
        <v>105</v>
      </c>
      <c r="AB11" s="246" t="s">
        <v>106</v>
      </c>
      <c r="AC11" s="246" t="s">
        <v>176</v>
      </c>
      <c r="AD11" s="246" t="s">
        <v>175</v>
      </c>
      <c r="AE11" s="245" t="s">
        <v>229</v>
      </c>
      <c r="AF11" s="552"/>
      <c r="AG11" s="552"/>
      <c r="AH11" s="246" t="s">
        <v>262</v>
      </c>
    </row>
    <row r="12" spans="1:34" ht="0.25" customHeight="1">
      <c r="B12" s="61"/>
      <c r="C12" s="61"/>
      <c r="D12" s="62"/>
      <c r="E12" s="65"/>
      <c r="F12" s="63"/>
      <c r="G12" s="63"/>
      <c r="H12" s="63"/>
      <c r="I12" s="63"/>
      <c r="J12" s="64"/>
      <c r="K12" s="64"/>
      <c r="L12" s="65"/>
      <c r="M12" s="65"/>
      <c r="N12" s="65"/>
      <c r="O12" s="65"/>
      <c r="P12" s="65"/>
      <c r="S12" s="96"/>
      <c r="T12" s="235"/>
      <c r="U12" s="236"/>
      <c r="V12" s="236"/>
      <c r="Z12" s="236"/>
      <c r="AA12" s="236"/>
      <c r="AB12" s="236"/>
      <c r="AH12" s="303"/>
    </row>
    <row r="13" spans="1:34" ht="13" customHeight="1">
      <c r="A13" s="89" t="str">
        <f>IF(ISERROR(VLOOKUP(C13,Datenblatt!$B$84:$B$97,1,FALSE)),"","Ft")</f>
        <v/>
      </c>
      <c r="B13" s="397">
        <f t="shared" ref="B13:B44" si="0">C13</f>
        <v>45565</v>
      </c>
      <c r="C13" s="149">
        <f>C14-1</f>
        <v>45565</v>
      </c>
      <c r="D13" s="153" t="str">
        <f>IF(September!D$43="","",September!D$43)</f>
        <v/>
      </c>
      <c r="E13" s="150" t="str">
        <f>IF(September!E$43="","",September!E$43)</f>
        <v/>
      </c>
      <c r="F13" s="150"/>
      <c r="G13" s="150"/>
      <c r="H13" s="150"/>
      <c r="I13" s="150"/>
      <c r="J13" s="252"/>
      <c r="K13" s="252"/>
      <c r="L13" s="170" t="str">
        <f>IF(D13="ND",9,IF(D13="ND12,5",8.5,""))</f>
        <v/>
      </c>
      <c r="M13" s="170" t="str">
        <f>IF(D13="ND",9,IF(D13="ND12,5",8.5,""))</f>
        <v/>
      </c>
      <c r="N13" s="600" t="str">
        <f>IF(OR(D13="ND",D13="ND12,5"),"Übertrag Vormonat","")</f>
        <v/>
      </c>
      <c r="O13" s="600"/>
      <c r="P13" s="193"/>
      <c r="Q13" s="174"/>
      <c r="R13" s="151"/>
      <c r="S13" s="152"/>
      <c r="T13" s="205"/>
      <c r="U13" s="206"/>
      <c r="V13" s="207"/>
      <c r="W13" s="207"/>
      <c r="X13" s="253"/>
      <c r="Y13" s="253"/>
      <c r="Z13" s="111" t="str">
        <f t="shared" ref="Z13" si="1">IF(E13="ND",25,IF(E13="ND12,5",12.5,""))</f>
        <v/>
      </c>
      <c r="AA13" s="206"/>
      <c r="AB13" s="208"/>
      <c r="AC13" s="208"/>
      <c r="AD13" s="208"/>
      <c r="AE13" s="208"/>
      <c r="AF13" s="112"/>
      <c r="AG13" s="112"/>
      <c r="AH13" s="304"/>
    </row>
    <row r="14" spans="1:34" ht="13" customHeight="1">
      <c r="A14" s="89" t="str">
        <f>IF(ISERROR(VLOOKUP(C14,Datenblatt!$B$84:$B$97,1,FALSE)),"","Ft")</f>
        <v/>
      </c>
      <c r="B14" s="84">
        <f t="shared" si="0"/>
        <v>45566</v>
      </c>
      <c r="C14" s="85">
        <f>DATE($D$8,MONTH(B$8),1)</f>
        <v>45566</v>
      </c>
      <c r="D14" s="67"/>
      <c r="E14" s="67"/>
      <c r="F14" s="68"/>
      <c r="G14" s="69"/>
      <c r="H14" s="68"/>
      <c r="I14" s="68"/>
      <c r="J14" s="99"/>
      <c r="K14" s="21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20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10" t="str">
        <f>IF(D14="","",IF(E13="ND",VLOOKUP(D14,Datenblatt!$A$2:$C$31,3,FALSE)-1,IF(E13="ND12,5",VLOOKUP(D14,Datenblatt!$A$2:$C$31,3,FALSE)-0.5,VLOOKUP(D14,Datenblatt!$A$2:$C$31,3,FALSE))))</f>
        <v/>
      </c>
      <c r="N14" s="211" t="str">
        <f t="shared" ref="N14:N44" si="2">IF(AND(F14="",G14=""),"",IF(OR(F14&gt;G14,AND(F14="",G14&gt;0),F14=G14),"ungültig",IF(OR(WEEKDAY(B14,2)=7,A14="Ft"),0,(G14-F14)*24)))</f>
        <v/>
      </c>
      <c r="O14" s="211" t="str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86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103" t="str">
        <f>IF(D14="","",VLOOKUP(D14,Datenblatt!$A$2:$D$31,4,FALSE))</f>
        <v/>
      </c>
      <c r="R14" s="104" t="str">
        <f>IF(E14="","",VLOOKUP(E14,Datenblatt!$E$2:$G$28,2,FALSE))</f>
        <v/>
      </c>
      <c r="S14" s="105"/>
      <c r="T14" s="111">
        <f>IF(K14="",0,K14)</f>
        <v>0</v>
      </c>
      <c r="U14" s="110"/>
      <c r="V14" s="112"/>
      <c r="W14" s="113"/>
      <c r="X14" s="254"/>
      <c r="Y14" s="254"/>
      <c r="Z14" s="111" t="str">
        <f>IF(E14="ND",25,IF(E14="ND12,5",12.5,""))</f>
        <v/>
      </c>
      <c r="AA14" s="214">
        <f>IF(E13="ND",IF(ISERROR(MATCH(D14,Datenblatt!$L$2:$L$18,0)),3,2),IF(E13="ND12,5",IF(ISERROR(MATCH(D14,Datenblatt!$L$2:$L$18,0)),2.5,2),0))</f>
        <v>0</v>
      </c>
      <c r="AB14" s="214">
        <f>IF((IF(E14="ND",14-IF(D14="",0,VLOOKUP(D14,Datenblatt!$L$2:$M$30,2,FALSE)),IF(E14="ND12,5",2,0)))&lt;0,0,(IF(E14="ND",14-IF(D14="",0,VLOOKUP(D14,Datenblatt!$L$2:$M$30,2,FALSE)),IF(E14="ND12,5",2,0))))</f>
        <v>0</v>
      </c>
      <c r="AC14" s="214">
        <f>IF(OR(E14="ND",E14="ND12,5"),2,0)</f>
        <v>0</v>
      </c>
      <c r="AD14" s="214">
        <f>IF(OR(E13="ND",E13="ND12,5"),6,0)</f>
        <v>0</v>
      </c>
      <c r="AE14" s="214">
        <f>IF(AND(E13="ND",AA14&gt;=2),1,IF(AND(E13="ND12,5",AA14&gt;=2),0.5,0))</f>
        <v>0</v>
      </c>
      <c r="AF14" s="112">
        <f>IF(OR(D14="ND",D14="ND12,5"),2-X14,0)</f>
        <v>0</v>
      </c>
      <c r="AG14" s="112">
        <f>IF(OR(D13="ND",D13="ND12,5"),6-Y14,0)</f>
        <v>0</v>
      </c>
      <c r="AH14" s="112">
        <f>IF(E14="",0,VLOOKUP(E14,Datenblatt!$E$2:$G$28,3,FALSE))</f>
        <v>0</v>
      </c>
    </row>
    <row r="15" spans="1:34" ht="13" customHeight="1">
      <c r="A15" s="89" t="str">
        <f>IF(ISERROR(VLOOKUP(C15,Datenblatt!$B$84:$B$97,1,FALSE)),"","Ft")</f>
        <v/>
      </c>
      <c r="B15" s="84">
        <f t="shared" si="0"/>
        <v>45567</v>
      </c>
      <c r="C15" s="86">
        <f t="shared" ref="C15:C41" si="4">C14+1</f>
        <v>45567</v>
      </c>
      <c r="D15" s="67"/>
      <c r="E15" s="67"/>
      <c r="F15" s="68"/>
      <c r="G15" s="69"/>
      <c r="H15" s="68"/>
      <c r="I15" s="68"/>
      <c r="J15" s="99"/>
      <c r="K15" s="21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20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10" t="str">
        <f>IF(D15="","",IF(E14="ND",VLOOKUP(D15,Datenblatt!$A$2:$C$31,3,FALSE)-1,IF(E14="ND12,5",VLOOKUP(D15,Datenblatt!$A$2:$C$31,3,FALSE)-0.5,VLOOKUP(D15,Datenblatt!$A$2:$C$31,3,FALSE))))</f>
        <v/>
      </c>
      <c r="N15" s="211" t="str">
        <f t="shared" si="2"/>
        <v/>
      </c>
      <c r="O15" s="211" t="str">
        <f t="shared" si="3"/>
        <v/>
      </c>
      <c r="P15" s="186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103" t="str">
        <f>IF(D15="","",VLOOKUP(D15,Datenblatt!$A$2:$D$31,4,FALSE))</f>
        <v/>
      </c>
      <c r="R15" s="104" t="str">
        <f>IF(E15="","",VLOOKUP(E15,Datenblatt!$E$2:$G$28,2,FALSE))</f>
        <v/>
      </c>
      <c r="S15" s="105"/>
      <c r="T15" s="111">
        <f t="shared" ref="T15:T44" si="5">IF(K15="",0,K15)</f>
        <v>0</v>
      </c>
      <c r="U15" s="114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12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12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54">
        <f t="array" ref="X15">IF(T15=0,0,IF((AND((ROW(T15)=MATCH(TRUE,($T$1:$T$44)&gt;0,0)))),IF(W15&gt;=6,W15-6,0),IF(W15&gt;=2,2,W15)))</f>
        <v>0</v>
      </c>
      <c r="Y15" s="254">
        <f t="array" ref="Y15">IF(T14=0,0,(IF((AND((ROW(T14)=MATCH(TRUE,($T$1:$T$44)&gt;0,0)))),IF(W14&gt;=6,6,W14),IF(W14&gt;=2,W14-2,0))))</f>
        <v>0</v>
      </c>
      <c r="Z15" s="111" t="str">
        <f t="shared" ref="Z15:Z44" si="6">IF(E15="ND",25,IF(E15="ND12,5",12.5,""))</f>
        <v/>
      </c>
      <c r="AA15" s="214">
        <f>IF(E14="ND",IF(ISERROR(MATCH(D15,Datenblatt!$L$2:$L$18,0)),3,2),IF(E14="ND12,5",IF(ISERROR(MATCH(D15,Datenblatt!$L$2:$L$18,0)),2.5,2),0))</f>
        <v>0</v>
      </c>
      <c r="AB15" s="214">
        <f>IF((IF(E15="ND",14-IF(D15="",0,VLOOKUP(D15,Datenblatt!$L$2:$M$30,2,FALSE)),IF(E15="ND12,5",2,0)))&lt;0,0,(IF(E15="ND",14-IF(D15="",0,VLOOKUP(D15,Datenblatt!$L$2:$M$30,2,FALSE)),IF(E15="ND12,5",2,0))))</f>
        <v>0</v>
      </c>
      <c r="AC15" s="214">
        <f t="shared" ref="AC15:AC44" si="7">IF(OR(E15="ND",E15="ND12,5"),2,0)</f>
        <v>0</v>
      </c>
      <c r="AD15" s="214">
        <f t="shared" ref="AD15:AD44" si="8">IF(OR(E14="ND",E14="ND12,5"),6,0)</f>
        <v>0</v>
      </c>
      <c r="AE15" s="214">
        <f t="shared" ref="AE15:AE44" si="9">IF(AND(E14="ND",AA15&gt;=2),1,IF(AND(E14="ND12,5",AA15&gt;=2),0.5,0))</f>
        <v>0</v>
      </c>
      <c r="AF15" s="112">
        <f t="shared" ref="AF15:AF44" si="10">IF(OR(D15="ND",D15="ND12,5"),2-X15,0)</f>
        <v>0</v>
      </c>
      <c r="AG15" s="112">
        <f t="shared" ref="AG15:AG44" si="11">IF(OR(D14="ND",D14="ND12,5"),6-Y15,0)</f>
        <v>0</v>
      </c>
      <c r="AH15" s="112">
        <f>IF(E15="",0,VLOOKUP(E15,Datenblatt!$E$2:$G$28,3,FALSE))</f>
        <v>0</v>
      </c>
    </row>
    <row r="16" spans="1:34" ht="13" customHeight="1">
      <c r="A16" s="89" t="str">
        <f>IF(ISERROR(VLOOKUP(C16,Datenblatt!$B$84:$B$97,1,FALSE)),"","Ft")</f>
        <v/>
      </c>
      <c r="B16" s="84">
        <f t="shared" si="0"/>
        <v>45568</v>
      </c>
      <c r="C16" s="86">
        <f t="shared" si="4"/>
        <v>45568</v>
      </c>
      <c r="D16" s="67"/>
      <c r="E16" s="67"/>
      <c r="F16" s="68"/>
      <c r="G16" s="69"/>
      <c r="H16" s="68"/>
      <c r="I16" s="68"/>
      <c r="J16" s="99"/>
      <c r="K16" s="21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20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10" t="str">
        <f>IF(D16="","",IF(E15="ND",VLOOKUP(D16,Datenblatt!$A$2:$C$31,3,FALSE)-1,IF(E15="ND12,5",VLOOKUP(D16,Datenblatt!$A$2:$C$31,3,FALSE)-0.5,VLOOKUP(D16,Datenblatt!$A$2:$C$31,3,FALSE))))</f>
        <v/>
      </c>
      <c r="N16" s="211" t="str">
        <f t="shared" si="2"/>
        <v/>
      </c>
      <c r="O16" s="211" t="str">
        <f t="shared" si="3"/>
        <v/>
      </c>
      <c r="P16" s="186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103" t="str">
        <f>IF(D16="","",VLOOKUP(D16,Datenblatt!$A$2:$D$31,4,FALSE))</f>
        <v/>
      </c>
      <c r="R16" s="104" t="str">
        <f>IF(E16="","",VLOOKUP(E16,Datenblatt!$E$2:$G$28,2,FALSE))</f>
        <v/>
      </c>
      <c r="S16" s="105"/>
      <c r="T16" s="111">
        <f t="shared" si="5"/>
        <v>0</v>
      </c>
      <c r="U16" s="114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12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12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54">
        <f t="array" ref="X16">IF(T16=0,0,IF((AND((ROW(T16)=MATCH(TRUE,($T$1:$T$44)&gt;0,0)))),IF(W16&gt;=6,W16-6,0),IF(W16&gt;=2,2,W16)))</f>
        <v>0</v>
      </c>
      <c r="Y16" s="254">
        <f t="array" ref="Y16">IF(T15=0,0,(IF((AND((ROW(T15)=MATCH(TRUE,($T$1:$T$44)&gt;0,0)))),IF(W15&gt;=6,6,W15),IF(W15&gt;=2,W15-2,0))))</f>
        <v>0</v>
      </c>
      <c r="Z16" s="111" t="str">
        <f t="shared" si="6"/>
        <v/>
      </c>
      <c r="AA16" s="214">
        <f>IF(E15="ND",IF(ISERROR(MATCH(D16,Datenblatt!$L$2:$L$18,0)),3,2),IF(E15="ND12,5",IF(ISERROR(MATCH(D16,Datenblatt!$L$2:$L$18,0)),2.5,2),0))</f>
        <v>0</v>
      </c>
      <c r="AB16" s="214">
        <f>IF((IF(E16="ND",14-IF(D16="",0,VLOOKUP(D16,Datenblatt!$L$2:$M$30,2,FALSE)),IF(E16="ND12,5",2,0)))&lt;0,0,(IF(E16="ND",14-IF(D16="",0,VLOOKUP(D16,Datenblatt!$L$2:$M$30,2,FALSE)),IF(E16="ND12,5",2,0))))</f>
        <v>0</v>
      </c>
      <c r="AC16" s="214">
        <f t="shared" si="7"/>
        <v>0</v>
      </c>
      <c r="AD16" s="214">
        <f t="shared" si="8"/>
        <v>0</v>
      </c>
      <c r="AE16" s="214">
        <f t="shared" si="9"/>
        <v>0</v>
      </c>
      <c r="AF16" s="112">
        <f t="shared" si="10"/>
        <v>0</v>
      </c>
      <c r="AG16" s="112">
        <f t="shared" si="11"/>
        <v>0</v>
      </c>
      <c r="AH16" s="112">
        <f>IF(E16="",0,VLOOKUP(E16,Datenblatt!$E$2:$G$28,3,FALSE))</f>
        <v>0</v>
      </c>
    </row>
    <row r="17" spans="1:34" ht="13" customHeight="1">
      <c r="A17" s="89" t="str">
        <f>IF(ISERROR(VLOOKUP(C17,Datenblatt!$B$84:$B$97,1,FALSE)),"","Ft")</f>
        <v/>
      </c>
      <c r="B17" s="84">
        <f t="shared" si="0"/>
        <v>45569</v>
      </c>
      <c r="C17" s="86">
        <f t="shared" si="4"/>
        <v>45569</v>
      </c>
      <c r="D17" s="67"/>
      <c r="E17" s="67"/>
      <c r="F17" s="68"/>
      <c r="G17" s="69"/>
      <c r="H17" s="68"/>
      <c r="I17" s="68"/>
      <c r="J17" s="99"/>
      <c r="K17" s="21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20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10" t="str">
        <f>IF(D17="","",IF(E16="ND",VLOOKUP(D17,Datenblatt!$A$2:$C$31,3,FALSE)-1,IF(E16="ND12,5",VLOOKUP(D17,Datenblatt!$A$2:$C$31,3,FALSE)-0.5,VLOOKUP(D17,Datenblatt!$A$2:$C$31,3,FALSE))))</f>
        <v/>
      </c>
      <c r="N17" s="211" t="str">
        <f t="shared" si="2"/>
        <v/>
      </c>
      <c r="O17" s="211" t="str">
        <f t="shared" si="3"/>
        <v/>
      </c>
      <c r="P17" s="186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103" t="str">
        <f>IF(D17="","",VLOOKUP(D17,Datenblatt!$A$2:$D$31,4,FALSE))</f>
        <v/>
      </c>
      <c r="R17" s="104" t="str">
        <f>IF(E17="","",VLOOKUP(E17,Datenblatt!$E$2:$G$28,2,FALSE))</f>
        <v/>
      </c>
      <c r="S17" s="105"/>
      <c r="T17" s="111">
        <f t="shared" si="5"/>
        <v>0</v>
      </c>
      <c r="U17" s="114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12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12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54">
        <f t="array" ref="X17">IF(T17=0,0,IF((AND((ROW(T17)=MATCH(TRUE,($T$1:$T$44)&gt;0,0)))),IF(W17&gt;=6,W17-6,0),IF(W17&gt;=2,2,W17)))</f>
        <v>0</v>
      </c>
      <c r="Y17" s="254">
        <f t="array" ref="Y17">IF(T16=0,0,(IF((AND((ROW(T16)=MATCH(TRUE,($T$1:$T$44)&gt;0,0)))),IF(W16&gt;=6,6,W16),IF(W16&gt;=2,W16-2,0))))</f>
        <v>0</v>
      </c>
      <c r="Z17" s="111" t="str">
        <f t="shared" si="6"/>
        <v/>
      </c>
      <c r="AA17" s="214">
        <f>IF(E16="ND",IF(ISERROR(MATCH(D17,Datenblatt!$L$2:$L$18,0)),3,2),IF(E16="ND12,5",IF(ISERROR(MATCH(D17,Datenblatt!$L$2:$L$18,0)),2.5,2),0))</f>
        <v>0</v>
      </c>
      <c r="AB17" s="214">
        <f>IF((IF(E17="ND",14-IF(D17="",0,VLOOKUP(D17,Datenblatt!$L$2:$M$30,2,FALSE)),IF(E17="ND12,5",2,0)))&lt;0,0,(IF(E17="ND",14-IF(D17="",0,VLOOKUP(D17,Datenblatt!$L$2:$M$30,2,FALSE)),IF(E17="ND12,5",2,0))))</f>
        <v>0</v>
      </c>
      <c r="AC17" s="214">
        <f t="shared" si="7"/>
        <v>0</v>
      </c>
      <c r="AD17" s="214">
        <f t="shared" si="8"/>
        <v>0</v>
      </c>
      <c r="AE17" s="214">
        <f t="shared" si="9"/>
        <v>0</v>
      </c>
      <c r="AF17" s="112">
        <f t="shared" si="10"/>
        <v>0</v>
      </c>
      <c r="AG17" s="112">
        <f t="shared" si="11"/>
        <v>0</v>
      </c>
      <c r="AH17" s="112">
        <f>IF(E17="",0,VLOOKUP(E17,Datenblatt!$E$2:$G$28,3,FALSE))</f>
        <v>0</v>
      </c>
    </row>
    <row r="18" spans="1:34" ht="13" customHeight="1">
      <c r="A18" s="89" t="str">
        <f>IF(ISERROR(VLOOKUP(C18,Datenblatt!$B$84:$B$97,1,FALSE)),"","Ft")</f>
        <v/>
      </c>
      <c r="B18" s="84">
        <f t="shared" si="0"/>
        <v>45570</v>
      </c>
      <c r="C18" s="86">
        <f t="shared" si="4"/>
        <v>45570</v>
      </c>
      <c r="D18" s="67"/>
      <c r="E18" s="67"/>
      <c r="F18" s="68"/>
      <c r="G18" s="69"/>
      <c r="H18" s="68"/>
      <c r="I18" s="68"/>
      <c r="J18" s="99"/>
      <c r="K18" s="21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20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10" t="str">
        <f>IF(D18="","",IF(E17="ND",VLOOKUP(D18,Datenblatt!$A$2:$C$31,3,FALSE)-1,IF(E17="ND12,5",VLOOKUP(D18,Datenblatt!$A$2:$C$31,3,FALSE)-0.5,VLOOKUP(D18,Datenblatt!$A$2:$C$31,3,FALSE))))</f>
        <v/>
      </c>
      <c r="N18" s="211" t="str">
        <f t="shared" si="2"/>
        <v/>
      </c>
      <c r="O18" s="211" t="str">
        <f t="shared" si="3"/>
        <v/>
      </c>
      <c r="P18" s="186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103" t="str">
        <f>IF(D18="","",VLOOKUP(D18,Datenblatt!$A$2:$D$31,4,FALSE))</f>
        <v/>
      </c>
      <c r="R18" s="104" t="str">
        <f>IF(E18="","",VLOOKUP(E18,Datenblatt!$E$2:$G$28,2,FALSE))</f>
        <v/>
      </c>
      <c r="S18" s="105"/>
      <c r="T18" s="111">
        <f t="shared" si="5"/>
        <v>0</v>
      </c>
      <c r="U18" s="114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12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12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54">
        <f t="array" ref="X18">IF(T18=0,0,IF((AND((ROW(T18)=MATCH(TRUE,($T$1:$T$44)&gt;0,0)))),IF(W18&gt;=6,W18-6,0),IF(W18&gt;=2,2,W18)))</f>
        <v>0</v>
      </c>
      <c r="Y18" s="254">
        <f t="array" ref="Y18">IF(T17=0,0,(IF((AND((ROW(T17)=MATCH(TRUE,($T$1:$T$44)&gt;0,0)))),IF(W17&gt;=6,6,W17),IF(W17&gt;=2,W17-2,0))))</f>
        <v>0</v>
      </c>
      <c r="Z18" s="111" t="str">
        <f t="shared" si="6"/>
        <v/>
      </c>
      <c r="AA18" s="214">
        <f>IF(E17="ND",IF(ISERROR(MATCH(D18,Datenblatt!$L$2:$L$18,0)),3,2),IF(E17="ND12,5",IF(ISERROR(MATCH(D18,Datenblatt!$L$2:$L$18,0)),2.5,2),0))</f>
        <v>0</v>
      </c>
      <c r="AB18" s="214">
        <f>IF((IF(E18="ND",14-IF(D18="",0,VLOOKUP(D18,Datenblatt!$L$2:$M$30,2,FALSE)),IF(E18="ND12,5",2,0)))&lt;0,0,(IF(E18="ND",14-IF(D18="",0,VLOOKUP(D18,Datenblatt!$L$2:$M$30,2,FALSE)),IF(E18="ND12,5",2,0))))</f>
        <v>0</v>
      </c>
      <c r="AC18" s="214">
        <f t="shared" si="7"/>
        <v>0</v>
      </c>
      <c r="AD18" s="214">
        <f t="shared" si="8"/>
        <v>0</v>
      </c>
      <c r="AE18" s="214">
        <f t="shared" si="9"/>
        <v>0</v>
      </c>
      <c r="AF18" s="112">
        <f t="shared" si="10"/>
        <v>0</v>
      </c>
      <c r="AG18" s="112">
        <f t="shared" si="11"/>
        <v>0</v>
      </c>
      <c r="AH18" s="112">
        <f>IF(E18="",0,VLOOKUP(E18,Datenblatt!$E$2:$G$28,3,FALSE))</f>
        <v>0</v>
      </c>
    </row>
    <row r="19" spans="1:34" ht="13" customHeight="1">
      <c r="A19" s="89" t="str">
        <f>IF(ISERROR(VLOOKUP(C19,Datenblatt!$B$84:$B$97,1,FALSE)),"","Ft")</f>
        <v/>
      </c>
      <c r="B19" s="84">
        <f t="shared" si="0"/>
        <v>45571</v>
      </c>
      <c r="C19" s="86">
        <f t="shared" si="4"/>
        <v>45571</v>
      </c>
      <c r="D19" s="67"/>
      <c r="E19" s="67"/>
      <c r="F19" s="68"/>
      <c r="G19" s="69"/>
      <c r="H19" s="68"/>
      <c r="I19" s="68"/>
      <c r="J19" s="99"/>
      <c r="K19" s="21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20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10" t="str">
        <f>IF(D19="","",IF(E18="ND",VLOOKUP(D19,Datenblatt!$A$2:$C$31,3,FALSE)-1,IF(E18="ND12,5",VLOOKUP(D19,Datenblatt!$A$2:$C$31,3,FALSE)-0.5,VLOOKUP(D19,Datenblatt!$A$2:$C$31,3,FALSE))))</f>
        <v/>
      </c>
      <c r="N19" s="211" t="str">
        <f t="shared" si="2"/>
        <v/>
      </c>
      <c r="O19" s="211">
        <f t="shared" si="3"/>
        <v>0</v>
      </c>
      <c r="P19" s="186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103" t="str">
        <f>IF(D19="","",VLOOKUP(D19,Datenblatt!$A$2:$D$31,4,FALSE))</f>
        <v/>
      </c>
      <c r="R19" s="104" t="str">
        <f>IF(E19="","",VLOOKUP(E19,Datenblatt!$E$2:$G$28,2,FALSE))</f>
        <v/>
      </c>
      <c r="S19" s="105"/>
      <c r="T19" s="111">
        <f t="shared" si="5"/>
        <v>0</v>
      </c>
      <c r="U19" s="114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12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12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54">
        <f t="array" ref="X19">IF(T19=0,0,IF((AND((ROW(T19)=MATCH(TRUE,($T$1:$T$44)&gt;0,0)))),IF(W19&gt;=6,W19-6,0),IF(W19&gt;=2,2,W19)))</f>
        <v>0</v>
      </c>
      <c r="Y19" s="254">
        <f t="array" ref="Y19">IF(T18=0,0,(IF((AND((ROW(T18)=MATCH(TRUE,($T$1:$T$44)&gt;0,0)))),IF(W18&gt;=6,6,W18),IF(W18&gt;=2,W18-2,0))))</f>
        <v>0</v>
      </c>
      <c r="Z19" s="111" t="str">
        <f t="shared" si="6"/>
        <v/>
      </c>
      <c r="AA19" s="214">
        <f>IF(E18="ND",IF(ISERROR(MATCH(D19,Datenblatt!$L$2:$L$18,0)),3,2),IF(E18="ND12,5",IF(ISERROR(MATCH(D19,Datenblatt!$L$2:$L$18,0)),2.5,2),0))</f>
        <v>0</v>
      </c>
      <c r="AB19" s="214">
        <f>IF((IF(E19="ND",14-IF(D19="",0,VLOOKUP(D19,Datenblatt!$L$2:$M$30,2,FALSE)),IF(E19="ND12,5",2,0)))&lt;0,0,(IF(E19="ND",14-IF(D19="",0,VLOOKUP(D19,Datenblatt!$L$2:$M$30,2,FALSE)),IF(E19="ND12,5",2,0))))</f>
        <v>0</v>
      </c>
      <c r="AC19" s="214">
        <f t="shared" si="7"/>
        <v>0</v>
      </c>
      <c r="AD19" s="214">
        <f t="shared" si="8"/>
        <v>0</v>
      </c>
      <c r="AE19" s="214">
        <f t="shared" si="9"/>
        <v>0</v>
      </c>
      <c r="AF19" s="112">
        <f t="shared" si="10"/>
        <v>0</v>
      </c>
      <c r="AG19" s="112">
        <f t="shared" si="11"/>
        <v>0</v>
      </c>
      <c r="AH19" s="112">
        <f>IF(E19="",0,VLOOKUP(E19,Datenblatt!$E$2:$G$28,3,FALSE))</f>
        <v>0</v>
      </c>
    </row>
    <row r="20" spans="1:34" ht="13" customHeight="1">
      <c r="A20" s="89" t="str">
        <f>IF(ISERROR(VLOOKUP(C20,Datenblatt!$B$84:$B$97,1,FALSE)),"","Ft")</f>
        <v/>
      </c>
      <c r="B20" s="84">
        <f t="shared" si="0"/>
        <v>45572</v>
      </c>
      <c r="C20" s="86">
        <f t="shared" si="4"/>
        <v>45572</v>
      </c>
      <c r="D20" s="67"/>
      <c r="E20" s="67"/>
      <c r="F20" s="68"/>
      <c r="G20" s="69"/>
      <c r="H20" s="68"/>
      <c r="I20" s="68"/>
      <c r="J20" s="99"/>
      <c r="K20" s="21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20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10" t="str">
        <f>IF(D20="","",IF(E19="ND",VLOOKUP(D20,Datenblatt!$A$2:$C$31,3,FALSE)-1,IF(E19="ND12,5",VLOOKUP(D20,Datenblatt!$A$2:$C$31,3,FALSE)-0.5,VLOOKUP(D20,Datenblatt!$A$2:$C$31,3,FALSE))))</f>
        <v/>
      </c>
      <c r="N20" s="211" t="str">
        <f t="shared" si="2"/>
        <v/>
      </c>
      <c r="O20" s="211" t="str">
        <f t="shared" si="3"/>
        <v/>
      </c>
      <c r="P20" s="186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103" t="str">
        <f>IF(D20="","",VLOOKUP(D20,Datenblatt!$A$2:$D$31,4,FALSE))</f>
        <v/>
      </c>
      <c r="R20" s="104" t="str">
        <f>IF(E20="","",VLOOKUP(E20,Datenblatt!$E$2:$G$28,2,FALSE))</f>
        <v/>
      </c>
      <c r="S20" s="105"/>
      <c r="T20" s="111">
        <f t="shared" si="5"/>
        <v>0</v>
      </c>
      <c r="U20" s="114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12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12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54">
        <f t="array" ref="X20">IF(T20=0,0,IF((AND((ROW(T20)=MATCH(TRUE,($T$1:$T$44)&gt;0,0)))),IF(W20&gt;=6,W20-6,0),IF(W20&gt;=2,2,W20)))</f>
        <v>0</v>
      </c>
      <c r="Y20" s="254">
        <f t="array" ref="Y20">IF(T19=0,0,(IF((AND((ROW(T19)=MATCH(TRUE,($T$1:$T$44)&gt;0,0)))),IF(W19&gt;=6,6,W19),IF(W19&gt;=2,W19-2,0))))</f>
        <v>0</v>
      </c>
      <c r="Z20" s="111" t="str">
        <f t="shared" si="6"/>
        <v/>
      </c>
      <c r="AA20" s="214">
        <f>IF(E19="ND",IF(ISERROR(MATCH(D20,Datenblatt!$L$2:$L$18,0)),3,2),IF(E19="ND12,5",IF(ISERROR(MATCH(D20,Datenblatt!$L$2:$L$18,0)),2.5,2),0))</f>
        <v>0</v>
      </c>
      <c r="AB20" s="214">
        <f>IF((IF(E20="ND",14-IF(D20="",0,VLOOKUP(D20,Datenblatt!$L$2:$M$30,2,FALSE)),IF(E20="ND12,5",2,0)))&lt;0,0,(IF(E20="ND",14-IF(D20="",0,VLOOKUP(D20,Datenblatt!$L$2:$M$30,2,FALSE)),IF(E20="ND12,5",2,0))))</f>
        <v>0</v>
      </c>
      <c r="AC20" s="214">
        <f t="shared" si="7"/>
        <v>0</v>
      </c>
      <c r="AD20" s="214">
        <f t="shared" si="8"/>
        <v>0</v>
      </c>
      <c r="AE20" s="214">
        <f t="shared" si="9"/>
        <v>0</v>
      </c>
      <c r="AF20" s="112">
        <f t="shared" si="10"/>
        <v>0</v>
      </c>
      <c r="AG20" s="112">
        <f t="shared" si="11"/>
        <v>0</v>
      </c>
      <c r="AH20" s="112">
        <f>IF(E20="",0,VLOOKUP(E20,Datenblatt!$E$2:$G$28,3,FALSE))</f>
        <v>0</v>
      </c>
    </row>
    <row r="21" spans="1:34" ht="13" customHeight="1">
      <c r="A21" s="89" t="str">
        <f>IF(ISERROR(VLOOKUP(C21,Datenblatt!$B$84:$B$97,1,FALSE)),"","Ft")</f>
        <v/>
      </c>
      <c r="B21" s="84">
        <f t="shared" si="0"/>
        <v>45573</v>
      </c>
      <c r="C21" s="86">
        <f t="shared" si="4"/>
        <v>45573</v>
      </c>
      <c r="D21" s="67"/>
      <c r="E21" s="67"/>
      <c r="F21" s="68"/>
      <c r="G21" s="69"/>
      <c r="H21" s="68"/>
      <c r="I21" s="68"/>
      <c r="J21" s="99"/>
      <c r="K21" s="21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20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10" t="str">
        <f>IF(D21="","",IF(E20="ND",VLOOKUP(D21,Datenblatt!$A$2:$C$31,3,FALSE)-1,IF(E20="ND12,5",VLOOKUP(D21,Datenblatt!$A$2:$C$31,3,FALSE)-0.5,VLOOKUP(D21,Datenblatt!$A$2:$C$31,3,FALSE))))</f>
        <v/>
      </c>
      <c r="N21" s="211" t="str">
        <f t="shared" si="2"/>
        <v/>
      </c>
      <c r="O21" s="211" t="str">
        <f t="shared" si="3"/>
        <v/>
      </c>
      <c r="P21" s="186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103" t="str">
        <f>IF(D21="","",VLOOKUP(D21,Datenblatt!$A$2:$D$31,4,FALSE))</f>
        <v/>
      </c>
      <c r="R21" s="104" t="str">
        <f>IF(E21="","",VLOOKUP(E21,Datenblatt!$E$2:$G$28,2,FALSE))</f>
        <v/>
      </c>
      <c r="S21" s="105"/>
      <c r="T21" s="111">
        <f t="shared" si="5"/>
        <v>0</v>
      </c>
      <c r="U21" s="114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12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12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54">
        <f t="array" ref="X21">IF(T21=0,0,IF((AND((ROW(T21)=MATCH(TRUE,($T$1:$T$44)&gt;0,0)))),IF(W21&gt;=6,W21-6,0),IF(W21&gt;=2,2,W21)))</f>
        <v>0</v>
      </c>
      <c r="Y21" s="254">
        <f t="array" ref="Y21">IF(T20=0,0,(IF((AND((ROW(T20)=MATCH(TRUE,($T$1:$T$44)&gt;0,0)))),IF(W20&gt;=6,6,W20),IF(W20&gt;=2,W20-2,0))))</f>
        <v>0</v>
      </c>
      <c r="Z21" s="111" t="str">
        <f t="shared" si="6"/>
        <v/>
      </c>
      <c r="AA21" s="214">
        <f>IF(E20="ND",IF(ISERROR(MATCH(D21,Datenblatt!$L$2:$L$18,0)),3,2),IF(E20="ND12,5",IF(ISERROR(MATCH(D21,Datenblatt!$L$2:$L$18,0)),2.5,2),0))</f>
        <v>0</v>
      </c>
      <c r="AB21" s="214">
        <f>IF((IF(E21="ND",14-IF(D21="",0,VLOOKUP(D21,Datenblatt!$L$2:$M$30,2,FALSE)),IF(E21="ND12,5",2,0)))&lt;0,0,(IF(E21="ND",14-IF(D21="",0,VLOOKUP(D21,Datenblatt!$L$2:$M$30,2,FALSE)),IF(E21="ND12,5",2,0))))</f>
        <v>0</v>
      </c>
      <c r="AC21" s="214">
        <f t="shared" si="7"/>
        <v>0</v>
      </c>
      <c r="AD21" s="214">
        <f t="shared" si="8"/>
        <v>0</v>
      </c>
      <c r="AE21" s="214">
        <f t="shared" si="9"/>
        <v>0</v>
      </c>
      <c r="AF21" s="112">
        <f t="shared" si="10"/>
        <v>0</v>
      </c>
      <c r="AG21" s="112">
        <f t="shared" si="11"/>
        <v>0</v>
      </c>
      <c r="AH21" s="112">
        <f>IF(E21="",0,VLOOKUP(E21,Datenblatt!$E$2:$G$28,3,FALSE))</f>
        <v>0</v>
      </c>
    </row>
    <row r="22" spans="1:34" ht="13" customHeight="1">
      <c r="A22" s="89" t="str">
        <f>IF(ISERROR(VLOOKUP(C22,Datenblatt!$B$84:$B$97,1,FALSE)),"","Ft")</f>
        <v/>
      </c>
      <c r="B22" s="84">
        <f t="shared" si="0"/>
        <v>45574</v>
      </c>
      <c r="C22" s="86">
        <f t="shared" si="4"/>
        <v>45574</v>
      </c>
      <c r="D22" s="67"/>
      <c r="E22" s="67"/>
      <c r="F22" s="68"/>
      <c r="G22" s="69"/>
      <c r="H22" s="68"/>
      <c r="I22" s="68"/>
      <c r="J22" s="99"/>
      <c r="K22" s="21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20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10" t="str">
        <f>IF(D22="","",IF(E21="ND",VLOOKUP(D22,Datenblatt!$A$2:$C$31,3,FALSE)-1,IF(E21="ND12,5",VLOOKUP(D22,Datenblatt!$A$2:$C$31,3,FALSE)-0.5,VLOOKUP(D22,Datenblatt!$A$2:$C$31,3,FALSE))))</f>
        <v/>
      </c>
      <c r="N22" s="211" t="str">
        <f t="shared" si="2"/>
        <v/>
      </c>
      <c r="O22" s="211" t="str">
        <f t="shared" si="3"/>
        <v/>
      </c>
      <c r="P22" s="186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103" t="str">
        <f>IF(D22="","",VLOOKUP(D22,Datenblatt!$A$2:$D$31,4,FALSE))</f>
        <v/>
      </c>
      <c r="R22" s="104" t="str">
        <f>IF(E22="","",VLOOKUP(E22,Datenblatt!$E$2:$G$28,2,FALSE))</f>
        <v/>
      </c>
      <c r="S22" s="105"/>
      <c r="T22" s="111">
        <f t="shared" si="5"/>
        <v>0</v>
      </c>
      <c r="U22" s="114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12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12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54">
        <f t="array" ref="X22">IF(T22=0,0,IF((AND((ROW(T22)=MATCH(TRUE,($T$1:$T$44)&gt;0,0)))),IF(W22&gt;=6,W22-6,0),IF(W22&gt;=2,2,W22)))</f>
        <v>0</v>
      </c>
      <c r="Y22" s="254">
        <f t="array" ref="Y22">IF(T21=0,0,(IF((AND((ROW(T21)=MATCH(TRUE,($T$1:$T$44)&gt;0,0)))),IF(W21&gt;=6,6,W21),IF(W21&gt;=2,W21-2,0))))</f>
        <v>0</v>
      </c>
      <c r="Z22" s="111" t="str">
        <f t="shared" si="6"/>
        <v/>
      </c>
      <c r="AA22" s="214">
        <f>IF(E21="ND",IF(ISERROR(MATCH(D22,Datenblatt!$L$2:$L$18,0)),3,2),IF(E21="ND12,5",IF(ISERROR(MATCH(D22,Datenblatt!$L$2:$L$18,0)),2.5,2),0))</f>
        <v>0</v>
      </c>
      <c r="AB22" s="214">
        <f>IF((IF(E22="ND",14-IF(D22="",0,VLOOKUP(D22,Datenblatt!$L$2:$M$30,2,FALSE)),IF(E22="ND12,5",2,0)))&lt;0,0,(IF(E22="ND",14-IF(D22="",0,VLOOKUP(D22,Datenblatt!$L$2:$M$30,2,FALSE)),IF(E22="ND12,5",2,0))))</f>
        <v>0</v>
      </c>
      <c r="AC22" s="214">
        <f t="shared" si="7"/>
        <v>0</v>
      </c>
      <c r="AD22" s="214">
        <f t="shared" si="8"/>
        <v>0</v>
      </c>
      <c r="AE22" s="214">
        <f t="shared" si="9"/>
        <v>0</v>
      </c>
      <c r="AF22" s="112">
        <f t="shared" si="10"/>
        <v>0</v>
      </c>
      <c r="AG22" s="112">
        <f t="shared" si="11"/>
        <v>0</v>
      </c>
      <c r="AH22" s="112">
        <f>IF(E22="",0,VLOOKUP(E22,Datenblatt!$E$2:$G$28,3,FALSE))</f>
        <v>0</v>
      </c>
    </row>
    <row r="23" spans="1:34" ht="13" customHeight="1">
      <c r="A23" s="89" t="str">
        <f>IF(ISERROR(VLOOKUP(C23,Datenblatt!$B$84:$B$97,1,FALSE)),"","Ft")</f>
        <v/>
      </c>
      <c r="B23" s="84">
        <f t="shared" si="0"/>
        <v>45575</v>
      </c>
      <c r="C23" s="86">
        <f t="shared" si="4"/>
        <v>45575</v>
      </c>
      <c r="D23" s="67"/>
      <c r="E23" s="67"/>
      <c r="F23" s="68"/>
      <c r="G23" s="69"/>
      <c r="H23" s="68"/>
      <c r="I23" s="68"/>
      <c r="J23" s="99"/>
      <c r="K23" s="21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20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10" t="str">
        <f>IF(D23="","",IF(E22="ND",VLOOKUP(D23,Datenblatt!$A$2:$C$31,3,FALSE)-1,IF(E22="ND12,5",VLOOKUP(D23,Datenblatt!$A$2:$C$31,3,FALSE)-0.5,VLOOKUP(D23,Datenblatt!$A$2:$C$31,3,FALSE))))</f>
        <v/>
      </c>
      <c r="N23" s="211" t="str">
        <f t="shared" si="2"/>
        <v/>
      </c>
      <c r="O23" s="211" t="str">
        <f t="shared" si="3"/>
        <v/>
      </c>
      <c r="P23" s="186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103" t="str">
        <f>IF(D23="","",VLOOKUP(D23,Datenblatt!$A$2:$D$31,4,FALSE))</f>
        <v/>
      </c>
      <c r="R23" s="104" t="str">
        <f>IF(E23="","",VLOOKUP(E23,Datenblatt!$E$2:$G$28,2,FALSE))</f>
        <v/>
      </c>
      <c r="S23" s="105"/>
      <c r="T23" s="111">
        <f t="shared" si="5"/>
        <v>0</v>
      </c>
      <c r="U23" s="114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12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12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54">
        <f t="array" ref="X23">IF(T23=0,0,IF((AND((ROW(T23)=MATCH(TRUE,($T$1:$T$44)&gt;0,0)))),IF(W23&gt;=6,W23-6,0),IF(W23&gt;=2,2,W23)))</f>
        <v>0</v>
      </c>
      <c r="Y23" s="254">
        <f t="array" ref="Y23">IF(T22=0,0,(IF((AND((ROW(T22)=MATCH(TRUE,($T$1:$T$44)&gt;0,0)))),IF(W22&gt;=6,6,W22),IF(W22&gt;=2,W22-2,0))))</f>
        <v>0</v>
      </c>
      <c r="Z23" s="111" t="str">
        <f t="shared" si="6"/>
        <v/>
      </c>
      <c r="AA23" s="214">
        <f>IF(E22="ND",IF(ISERROR(MATCH(D23,Datenblatt!$L$2:$L$18,0)),3,2),IF(E22="ND12,5",IF(ISERROR(MATCH(D23,Datenblatt!$L$2:$L$18,0)),2.5,2),0))</f>
        <v>0</v>
      </c>
      <c r="AB23" s="214">
        <f>IF((IF(E23="ND",14-IF(D23="",0,VLOOKUP(D23,Datenblatt!$L$2:$M$30,2,FALSE)),IF(E23="ND12,5",2,0)))&lt;0,0,(IF(E23="ND",14-IF(D23="",0,VLOOKUP(D23,Datenblatt!$L$2:$M$30,2,FALSE)),IF(E23="ND12,5",2,0))))</f>
        <v>0</v>
      </c>
      <c r="AC23" s="214">
        <f t="shared" si="7"/>
        <v>0</v>
      </c>
      <c r="AD23" s="214">
        <f t="shared" si="8"/>
        <v>0</v>
      </c>
      <c r="AE23" s="214">
        <f t="shared" si="9"/>
        <v>0</v>
      </c>
      <c r="AF23" s="112">
        <f t="shared" si="10"/>
        <v>0</v>
      </c>
      <c r="AG23" s="112">
        <f t="shared" si="11"/>
        <v>0</v>
      </c>
      <c r="AH23" s="112">
        <f>IF(E23="",0,VLOOKUP(E23,Datenblatt!$E$2:$G$28,3,FALSE))</f>
        <v>0</v>
      </c>
    </row>
    <row r="24" spans="1:34" ht="13" customHeight="1">
      <c r="A24" s="89" t="str">
        <f>IF(ISERROR(VLOOKUP(C24,Datenblatt!$B$84:$B$97,1,FALSE)),"","Ft")</f>
        <v/>
      </c>
      <c r="B24" s="84">
        <f t="shared" si="0"/>
        <v>45576</v>
      </c>
      <c r="C24" s="86">
        <f t="shared" si="4"/>
        <v>45576</v>
      </c>
      <c r="D24" s="67"/>
      <c r="E24" s="67"/>
      <c r="F24" s="68"/>
      <c r="G24" s="69"/>
      <c r="H24" s="68"/>
      <c r="I24" s="68"/>
      <c r="J24" s="99"/>
      <c r="K24" s="21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20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10" t="str">
        <f>IF(D24="","",IF(E23="ND",VLOOKUP(D24,Datenblatt!$A$2:$C$31,3,FALSE)-1,IF(E23="ND12,5",VLOOKUP(D24,Datenblatt!$A$2:$C$31,3,FALSE)-0.5,VLOOKUP(D24,Datenblatt!$A$2:$C$31,3,FALSE))))</f>
        <v/>
      </c>
      <c r="N24" s="211" t="str">
        <f t="shared" si="2"/>
        <v/>
      </c>
      <c r="O24" s="211" t="str">
        <f t="shared" si="3"/>
        <v/>
      </c>
      <c r="P24" s="186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103" t="str">
        <f>IF(D24="","",VLOOKUP(D24,Datenblatt!$A$2:$D$31,4,FALSE))</f>
        <v/>
      </c>
      <c r="R24" s="104" t="str">
        <f>IF(E24="","",VLOOKUP(E24,Datenblatt!$E$2:$G$28,2,FALSE))</f>
        <v/>
      </c>
      <c r="S24" s="105"/>
      <c r="T24" s="111">
        <f t="shared" si="5"/>
        <v>0</v>
      </c>
      <c r="U24" s="114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12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12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54">
        <f t="array" ref="X24">IF(T24=0,0,IF((AND((ROW(T24)=MATCH(TRUE,($T$1:$T$44)&gt;0,0)))),IF(W24&gt;=6,W24-6,0),IF(W24&gt;=2,2,W24)))</f>
        <v>0</v>
      </c>
      <c r="Y24" s="254">
        <f t="array" ref="Y24">IF(T23=0,0,(IF((AND((ROW(T23)=MATCH(TRUE,($T$1:$T$44)&gt;0,0)))),IF(W23&gt;=6,6,W23),IF(W23&gt;=2,W23-2,0))))</f>
        <v>0</v>
      </c>
      <c r="Z24" s="111" t="str">
        <f t="shared" si="6"/>
        <v/>
      </c>
      <c r="AA24" s="214">
        <f>IF(E23="ND",IF(ISERROR(MATCH(D24,Datenblatt!$L$2:$L$18,0)),3,2),IF(E23="ND12,5",IF(ISERROR(MATCH(D24,Datenblatt!$L$2:$L$18,0)),2.5,2),0))</f>
        <v>0</v>
      </c>
      <c r="AB24" s="214">
        <f>IF((IF(E24="ND",14-IF(D24="",0,VLOOKUP(D24,Datenblatt!$L$2:$M$30,2,FALSE)),IF(E24="ND12,5",2,0)))&lt;0,0,(IF(E24="ND",14-IF(D24="",0,VLOOKUP(D24,Datenblatt!$L$2:$M$30,2,FALSE)),IF(E24="ND12,5",2,0))))</f>
        <v>0</v>
      </c>
      <c r="AC24" s="214">
        <f t="shared" si="7"/>
        <v>0</v>
      </c>
      <c r="AD24" s="214">
        <f t="shared" si="8"/>
        <v>0</v>
      </c>
      <c r="AE24" s="214">
        <f t="shared" si="9"/>
        <v>0</v>
      </c>
      <c r="AF24" s="112">
        <f t="shared" si="10"/>
        <v>0</v>
      </c>
      <c r="AG24" s="112">
        <f t="shared" si="11"/>
        <v>0</v>
      </c>
      <c r="AH24" s="112">
        <f>IF(E24="",0,VLOOKUP(E24,Datenblatt!$E$2:$G$28,3,FALSE))</f>
        <v>0</v>
      </c>
    </row>
    <row r="25" spans="1:34" ht="13" customHeight="1">
      <c r="A25" s="89" t="str">
        <f>IF(ISERROR(VLOOKUP(C25,Datenblatt!$B$84:$B$97,1,FALSE)),"","Ft")</f>
        <v/>
      </c>
      <c r="B25" s="84">
        <f t="shared" si="0"/>
        <v>45577</v>
      </c>
      <c r="C25" s="86">
        <f t="shared" si="4"/>
        <v>45577</v>
      </c>
      <c r="D25" s="67"/>
      <c r="E25" s="67"/>
      <c r="F25" s="68"/>
      <c r="G25" s="69"/>
      <c r="H25" s="68"/>
      <c r="I25" s="68"/>
      <c r="J25" s="99"/>
      <c r="K25" s="21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20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10" t="str">
        <f>IF(D25="","",IF(E24="ND",VLOOKUP(D25,Datenblatt!$A$2:$C$31,3,FALSE)-1,IF(E24="ND12,5",VLOOKUP(D25,Datenblatt!$A$2:$C$31,3,FALSE)-0.5,VLOOKUP(D25,Datenblatt!$A$2:$C$31,3,FALSE))))</f>
        <v/>
      </c>
      <c r="N25" s="211" t="str">
        <f t="shared" si="2"/>
        <v/>
      </c>
      <c r="O25" s="211" t="str">
        <f t="shared" si="3"/>
        <v/>
      </c>
      <c r="P25" s="186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103" t="str">
        <f>IF(D25="","",VLOOKUP(D25,Datenblatt!$A$2:$D$31,4,FALSE))</f>
        <v/>
      </c>
      <c r="R25" s="104" t="str">
        <f>IF(E25="","",VLOOKUP(E25,Datenblatt!$E$2:$G$28,2,FALSE))</f>
        <v/>
      </c>
      <c r="S25" s="105"/>
      <c r="T25" s="111">
        <f t="shared" si="5"/>
        <v>0</v>
      </c>
      <c r="U25" s="114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12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12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54">
        <f t="array" ref="X25">IF(T25=0,0,IF((AND((ROW(T25)=MATCH(TRUE,($T$1:$T$44)&gt;0,0)))),IF(W25&gt;=6,W25-6,0),IF(W25&gt;=2,2,W25)))</f>
        <v>0</v>
      </c>
      <c r="Y25" s="254">
        <f t="array" ref="Y25">IF(T24=0,0,(IF((AND((ROW(T24)=MATCH(TRUE,($T$1:$T$44)&gt;0,0)))),IF(W24&gt;=6,6,W24),IF(W24&gt;=2,W24-2,0))))</f>
        <v>0</v>
      </c>
      <c r="Z25" s="111" t="str">
        <f t="shared" si="6"/>
        <v/>
      </c>
      <c r="AA25" s="214">
        <f>IF(E24="ND",IF(ISERROR(MATCH(D25,Datenblatt!$L$2:$L$18,0)),3,2),IF(E24="ND12,5",IF(ISERROR(MATCH(D25,Datenblatt!$L$2:$L$18,0)),2.5,2),0))</f>
        <v>0</v>
      </c>
      <c r="AB25" s="214">
        <f>IF((IF(E25="ND",14-IF(D25="",0,VLOOKUP(D25,Datenblatt!$L$2:$M$30,2,FALSE)),IF(E25="ND12,5",2,0)))&lt;0,0,(IF(E25="ND",14-IF(D25="",0,VLOOKUP(D25,Datenblatt!$L$2:$M$30,2,FALSE)),IF(E25="ND12,5",2,0))))</f>
        <v>0</v>
      </c>
      <c r="AC25" s="214">
        <f t="shared" si="7"/>
        <v>0</v>
      </c>
      <c r="AD25" s="214">
        <f t="shared" si="8"/>
        <v>0</v>
      </c>
      <c r="AE25" s="214">
        <f t="shared" si="9"/>
        <v>0</v>
      </c>
      <c r="AF25" s="112">
        <f t="shared" si="10"/>
        <v>0</v>
      </c>
      <c r="AG25" s="112">
        <f t="shared" si="11"/>
        <v>0</v>
      </c>
      <c r="AH25" s="112">
        <f>IF(E25="",0,VLOOKUP(E25,Datenblatt!$E$2:$G$28,3,FALSE))</f>
        <v>0</v>
      </c>
    </row>
    <row r="26" spans="1:34" ht="13" customHeight="1">
      <c r="A26" s="89" t="str">
        <f>IF(ISERROR(VLOOKUP(C26,Datenblatt!$B$84:$B$97,1,FALSE)),"","Ft")</f>
        <v/>
      </c>
      <c r="B26" s="84">
        <f t="shared" si="0"/>
        <v>45578</v>
      </c>
      <c r="C26" s="86">
        <f t="shared" si="4"/>
        <v>45578</v>
      </c>
      <c r="D26" s="67"/>
      <c r="E26" s="67"/>
      <c r="F26" s="68"/>
      <c r="G26" s="69"/>
      <c r="H26" s="68"/>
      <c r="I26" s="68"/>
      <c r="J26" s="99"/>
      <c r="K26" s="21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20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10" t="str">
        <f>IF(D26="","",IF(E25="ND",VLOOKUP(D26,Datenblatt!$A$2:$C$31,3,FALSE)-1,IF(E25="ND12,5",VLOOKUP(D26,Datenblatt!$A$2:$C$31,3,FALSE)-0.5,VLOOKUP(D26,Datenblatt!$A$2:$C$31,3,FALSE))))</f>
        <v/>
      </c>
      <c r="N26" s="211" t="str">
        <f t="shared" si="2"/>
        <v/>
      </c>
      <c r="O26" s="211">
        <f t="shared" si="3"/>
        <v>0</v>
      </c>
      <c r="P26" s="186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103" t="str">
        <f>IF(D26="","",VLOOKUP(D26,Datenblatt!$A$2:$D$31,4,FALSE))</f>
        <v/>
      </c>
      <c r="R26" s="104" t="str">
        <f>IF(E26="","",VLOOKUP(E26,Datenblatt!$E$2:$G$28,2,FALSE))</f>
        <v/>
      </c>
      <c r="S26" s="105"/>
      <c r="T26" s="111">
        <f t="shared" si="5"/>
        <v>0</v>
      </c>
      <c r="U26" s="114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12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12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54">
        <f t="array" ref="X26">IF(T26=0,0,IF((AND((ROW(T26)=MATCH(TRUE,($T$1:$T$44)&gt;0,0)))),IF(W26&gt;=6,W26-6,0),IF(W26&gt;=2,2,W26)))</f>
        <v>0</v>
      </c>
      <c r="Y26" s="254">
        <f t="array" ref="Y26">IF(T25=0,0,(IF((AND((ROW(T25)=MATCH(TRUE,($T$1:$T$44)&gt;0,0)))),IF(W25&gt;=6,6,W25),IF(W25&gt;=2,W25-2,0))))</f>
        <v>0</v>
      </c>
      <c r="Z26" s="111" t="str">
        <f t="shared" si="6"/>
        <v/>
      </c>
      <c r="AA26" s="214">
        <f>IF(E25="ND",IF(ISERROR(MATCH(D26,Datenblatt!$L$2:$L$18,0)),3,2),IF(E25="ND12,5",IF(ISERROR(MATCH(D26,Datenblatt!$L$2:$L$18,0)),2.5,2),0))</f>
        <v>0</v>
      </c>
      <c r="AB26" s="214">
        <f>IF((IF(E26="ND",14-IF(D26="",0,VLOOKUP(D26,Datenblatt!$L$2:$M$30,2,FALSE)),IF(E26="ND12,5",2,0)))&lt;0,0,(IF(E26="ND",14-IF(D26="",0,VLOOKUP(D26,Datenblatt!$L$2:$M$30,2,FALSE)),IF(E26="ND12,5",2,0))))</f>
        <v>0</v>
      </c>
      <c r="AC26" s="214">
        <f t="shared" si="7"/>
        <v>0</v>
      </c>
      <c r="AD26" s="214">
        <f t="shared" si="8"/>
        <v>0</v>
      </c>
      <c r="AE26" s="214">
        <f t="shared" si="9"/>
        <v>0</v>
      </c>
      <c r="AF26" s="112">
        <f t="shared" si="10"/>
        <v>0</v>
      </c>
      <c r="AG26" s="112">
        <f t="shared" si="11"/>
        <v>0</v>
      </c>
      <c r="AH26" s="112">
        <f>IF(E26="",0,VLOOKUP(E26,Datenblatt!$E$2:$G$28,3,FALSE))</f>
        <v>0</v>
      </c>
    </row>
    <row r="27" spans="1:34" ht="13" customHeight="1">
      <c r="A27" s="89" t="str">
        <f>IF(ISERROR(VLOOKUP(C27,Datenblatt!$B$84:$B$97,1,FALSE)),"","Ft")</f>
        <v/>
      </c>
      <c r="B27" s="84">
        <f t="shared" si="0"/>
        <v>45579</v>
      </c>
      <c r="C27" s="86">
        <f t="shared" si="4"/>
        <v>45579</v>
      </c>
      <c r="D27" s="67"/>
      <c r="E27" s="67"/>
      <c r="F27" s="68"/>
      <c r="G27" s="69"/>
      <c r="H27" s="68"/>
      <c r="I27" s="68"/>
      <c r="J27" s="99"/>
      <c r="K27" s="21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20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10" t="str">
        <f>IF(D27="","",IF(E26="ND",VLOOKUP(D27,Datenblatt!$A$2:$C$31,3,FALSE)-1,IF(E26="ND12,5",VLOOKUP(D27,Datenblatt!$A$2:$C$31,3,FALSE)-0.5,VLOOKUP(D27,Datenblatt!$A$2:$C$31,3,FALSE))))</f>
        <v/>
      </c>
      <c r="N27" s="211" t="str">
        <f t="shared" si="2"/>
        <v/>
      </c>
      <c r="O27" s="211" t="str">
        <f t="shared" si="3"/>
        <v/>
      </c>
      <c r="P27" s="186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103" t="str">
        <f>IF(D27="","",VLOOKUP(D27,Datenblatt!$A$2:$D$31,4,FALSE))</f>
        <v/>
      </c>
      <c r="R27" s="104" t="str">
        <f>IF(E27="","",VLOOKUP(E27,Datenblatt!$E$2:$G$28,2,FALSE))</f>
        <v/>
      </c>
      <c r="S27" s="105"/>
      <c r="T27" s="111">
        <f t="shared" si="5"/>
        <v>0</v>
      </c>
      <c r="U27" s="114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12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12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54">
        <f t="array" ref="X27">IF(T27=0,0,IF((AND((ROW(T27)=MATCH(TRUE,($T$1:$T$44)&gt;0,0)))),IF(W27&gt;=6,W27-6,0),IF(W27&gt;=2,2,W27)))</f>
        <v>0</v>
      </c>
      <c r="Y27" s="254">
        <f t="array" ref="Y27">IF(T26=0,0,(IF((AND((ROW(T26)=MATCH(TRUE,($T$1:$T$44)&gt;0,0)))),IF(W26&gt;=6,6,W26),IF(W26&gt;=2,W26-2,0))))</f>
        <v>0</v>
      </c>
      <c r="Z27" s="111" t="str">
        <f t="shared" si="6"/>
        <v/>
      </c>
      <c r="AA27" s="214">
        <f>IF(E26="ND",IF(ISERROR(MATCH(D27,Datenblatt!$L$2:$L$18,0)),3,2),IF(E26="ND12,5",IF(ISERROR(MATCH(D27,Datenblatt!$L$2:$L$18,0)),2.5,2),0))</f>
        <v>0</v>
      </c>
      <c r="AB27" s="214">
        <f>IF((IF(E27="ND",14-IF(D27="",0,VLOOKUP(D27,Datenblatt!$L$2:$M$30,2,FALSE)),IF(E27="ND12,5",2,0)))&lt;0,0,(IF(E27="ND",14-IF(D27="",0,VLOOKUP(D27,Datenblatt!$L$2:$M$30,2,FALSE)),IF(E27="ND12,5",2,0))))</f>
        <v>0</v>
      </c>
      <c r="AC27" s="214">
        <f t="shared" si="7"/>
        <v>0</v>
      </c>
      <c r="AD27" s="214">
        <f t="shared" si="8"/>
        <v>0</v>
      </c>
      <c r="AE27" s="214">
        <f t="shared" si="9"/>
        <v>0</v>
      </c>
      <c r="AF27" s="112">
        <f t="shared" si="10"/>
        <v>0</v>
      </c>
      <c r="AG27" s="112">
        <f t="shared" si="11"/>
        <v>0</v>
      </c>
      <c r="AH27" s="112">
        <f>IF(E27="",0,VLOOKUP(E27,Datenblatt!$E$2:$G$28,3,FALSE))</f>
        <v>0</v>
      </c>
    </row>
    <row r="28" spans="1:34" ht="13" customHeight="1">
      <c r="A28" s="89" t="str">
        <f>IF(ISERROR(VLOOKUP(C28,Datenblatt!$B$84:$B$97,1,FALSE)),"","Ft")</f>
        <v/>
      </c>
      <c r="B28" s="84">
        <f t="shared" si="0"/>
        <v>45580</v>
      </c>
      <c r="C28" s="86">
        <f t="shared" si="4"/>
        <v>45580</v>
      </c>
      <c r="D28" s="67"/>
      <c r="E28" s="67"/>
      <c r="F28" s="68"/>
      <c r="G28" s="69"/>
      <c r="H28" s="68"/>
      <c r="I28" s="68"/>
      <c r="J28" s="99"/>
      <c r="K28" s="21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20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10" t="str">
        <f>IF(D28="","",IF(E27="ND",VLOOKUP(D28,Datenblatt!$A$2:$C$31,3,FALSE)-1,IF(E27="ND12,5",VLOOKUP(D28,Datenblatt!$A$2:$C$31,3,FALSE)-0.5,VLOOKUP(D28,Datenblatt!$A$2:$C$31,3,FALSE))))</f>
        <v/>
      </c>
      <c r="N28" s="211" t="str">
        <f t="shared" si="2"/>
        <v/>
      </c>
      <c r="O28" s="211" t="str">
        <f t="shared" si="3"/>
        <v/>
      </c>
      <c r="P28" s="186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103" t="str">
        <f>IF(D28="","",VLOOKUP(D28,Datenblatt!$A$2:$D$31,4,FALSE))</f>
        <v/>
      </c>
      <c r="R28" s="104" t="str">
        <f>IF(E28="","",VLOOKUP(E28,Datenblatt!$E$2:$G$28,2,FALSE))</f>
        <v/>
      </c>
      <c r="S28" s="105"/>
      <c r="T28" s="111">
        <f t="shared" si="5"/>
        <v>0</v>
      </c>
      <c r="U28" s="114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12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12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54">
        <f t="array" ref="X28">IF(T28=0,0,IF((AND((ROW(T28)=MATCH(TRUE,($T$1:$T$44)&gt;0,0)))),IF(W28&gt;=6,W28-6,0),IF(W28&gt;=2,2,W28)))</f>
        <v>0</v>
      </c>
      <c r="Y28" s="254">
        <f t="array" ref="Y28">IF(T27=0,0,(IF((AND((ROW(T27)=MATCH(TRUE,($T$1:$T$44)&gt;0,0)))),IF(W27&gt;=6,6,W27),IF(W27&gt;=2,W27-2,0))))</f>
        <v>0</v>
      </c>
      <c r="Z28" s="111" t="str">
        <f t="shared" si="6"/>
        <v/>
      </c>
      <c r="AA28" s="214">
        <f>IF(E27="ND",IF(ISERROR(MATCH(D28,Datenblatt!$L$2:$L$18,0)),3,2),IF(E27="ND12,5",IF(ISERROR(MATCH(D28,Datenblatt!$L$2:$L$18,0)),2.5,2),0))</f>
        <v>0</v>
      </c>
      <c r="AB28" s="214">
        <f>IF((IF(E28="ND",14-IF(D28="",0,VLOOKUP(D28,Datenblatt!$L$2:$M$30,2,FALSE)),IF(E28="ND12,5",2,0)))&lt;0,0,(IF(E28="ND",14-IF(D28="",0,VLOOKUP(D28,Datenblatt!$L$2:$M$30,2,FALSE)),IF(E28="ND12,5",2,0))))</f>
        <v>0</v>
      </c>
      <c r="AC28" s="214">
        <f t="shared" si="7"/>
        <v>0</v>
      </c>
      <c r="AD28" s="214">
        <f t="shared" si="8"/>
        <v>0</v>
      </c>
      <c r="AE28" s="214">
        <f t="shared" si="9"/>
        <v>0</v>
      </c>
      <c r="AF28" s="112">
        <f t="shared" si="10"/>
        <v>0</v>
      </c>
      <c r="AG28" s="112">
        <f t="shared" si="11"/>
        <v>0</v>
      </c>
      <c r="AH28" s="112">
        <f>IF(E28="",0,VLOOKUP(E28,Datenblatt!$E$2:$G$28,3,FALSE))</f>
        <v>0</v>
      </c>
    </row>
    <row r="29" spans="1:34" ht="13" customHeight="1">
      <c r="A29" s="89" t="str">
        <f>IF(ISERROR(VLOOKUP(C29,Datenblatt!$B$84:$B$97,1,FALSE)),"","Ft")</f>
        <v/>
      </c>
      <c r="B29" s="84">
        <f t="shared" si="0"/>
        <v>45581</v>
      </c>
      <c r="C29" s="86">
        <f t="shared" si="4"/>
        <v>45581</v>
      </c>
      <c r="D29" s="67"/>
      <c r="E29" s="67"/>
      <c r="F29" s="68"/>
      <c r="G29" s="69"/>
      <c r="H29" s="68"/>
      <c r="I29" s="68"/>
      <c r="J29" s="99"/>
      <c r="K29" s="21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20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10" t="str">
        <f>IF(D29="","",IF(E28="ND",VLOOKUP(D29,Datenblatt!$A$2:$C$31,3,FALSE)-1,IF(E28="ND12,5",VLOOKUP(D29,Datenblatt!$A$2:$C$31,3,FALSE)-0.5,VLOOKUP(D29,Datenblatt!$A$2:$C$31,3,FALSE))))</f>
        <v/>
      </c>
      <c r="N29" s="211" t="str">
        <f t="shared" si="2"/>
        <v/>
      </c>
      <c r="O29" s="211" t="str">
        <f t="shared" si="3"/>
        <v/>
      </c>
      <c r="P29" s="186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103" t="str">
        <f>IF(D29="","",VLOOKUP(D29,Datenblatt!$A$2:$D$31,4,FALSE))</f>
        <v/>
      </c>
      <c r="R29" s="104" t="str">
        <f>IF(E29="","",VLOOKUP(E29,Datenblatt!$E$2:$G$28,2,FALSE))</f>
        <v/>
      </c>
      <c r="S29" s="105"/>
      <c r="T29" s="111">
        <f t="shared" si="5"/>
        <v>0</v>
      </c>
      <c r="U29" s="114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12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12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54">
        <f t="array" ref="X29">IF(T29=0,0,IF((AND((ROW(T29)=MATCH(TRUE,($T$1:$T$44)&gt;0,0)))),IF(W29&gt;=6,W29-6,0),IF(W29&gt;=2,2,W29)))</f>
        <v>0</v>
      </c>
      <c r="Y29" s="254">
        <f t="array" ref="Y29">IF(T28=0,0,(IF((AND((ROW(T28)=MATCH(TRUE,($T$1:$T$44)&gt;0,0)))),IF(W28&gt;=6,6,W28),IF(W28&gt;=2,W28-2,0))))</f>
        <v>0</v>
      </c>
      <c r="Z29" s="111" t="str">
        <f t="shared" si="6"/>
        <v/>
      </c>
      <c r="AA29" s="214">
        <f>IF(E28="ND",IF(ISERROR(MATCH(D29,Datenblatt!$L$2:$L$18,0)),3,2),IF(E28="ND12,5",IF(ISERROR(MATCH(D29,Datenblatt!$L$2:$L$18,0)),2.5,2),0))</f>
        <v>0</v>
      </c>
      <c r="AB29" s="214">
        <f>IF((IF(E29="ND",14-IF(D29="",0,VLOOKUP(D29,Datenblatt!$L$2:$M$30,2,FALSE)),IF(E29="ND12,5",2,0)))&lt;0,0,(IF(E29="ND",14-IF(D29="",0,VLOOKUP(D29,Datenblatt!$L$2:$M$30,2,FALSE)),IF(E29="ND12,5",2,0))))</f>
        <v>0</v>
      </c>
      <c r="AC29" s="214">
        <f t="shared" si="7"/>
        <v>0</v>
      </c>
      <c r="AD29" s="214">
        <f t="shared" si="8"/>
        <v>0</v>
      </c>
      <c r="AE29" s="214">
        <f t="shared" si="9"/>
        <v>0</v>
      </c>
      <c r="AF29" s="112">
        <f t="shared" si="10"/>
        <v>0</v>
      </c>
      <c r="AG29" s="112">
        <f t="shared" si="11"/>
        <v>0</v>
      </c>
      <c r="AH29" s="112">
        <f>IF(E29="",0,VLOOKUP(E29,Datenblatt!$E$2:$G$28,3,FALSE))</f>
        <v>0</v>
      </c>
    </row>
    <row r="30" spans="1:34" ht="13" customHeight="1">
      <c r="A30" s="89" t="str">
        <f>IF(ISERROR(VLOOKUP(C30,Datenblatt!$B$84:$B$97,1,FALSE)),"","Ft")</f>
        <v/>
      </c>
      <c r="B30" s="84">
        <f t="shared" si="0"/>
        <v>45582</v>
      </c>
      <c r="C30" s="86">
        <f t="shared" si="4"/>
        <v>45582</v>
      </c>
      <c r="D30" s="67"/>
      <c r="E30" s="67"/>
      <c r="F30" s="68"/>
      <c r="G30" s="69"/>
      <c r="H30" s="68"/>
      <c r="I30" s="68"/>
      <c r="J30" s="99"/>
      <c r="K30" s="21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20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10" t="str">
        <f>IF(D30="","",IF(E29="ND",VLOOKUP(D30,Datenblatt!$A$2:$C$31,3,FALSE)-1,IF(E29="ND12,5",VLOOKUP(D30,Datenblatt!$A$2:$C$31,3,FALSE)-0.5,VLOOKUP(D30,Datenblatt!$A$2:$C$31,3,FALSE))))</f>
        <v/>
      </c>
      <c r="N30" s="211" t="str">
        <f t="shared" si="2"/>
        <v/>
      </c>
      <c r="O30" s="211" t="str">
        <f t="shared" si="3"/>
        <v/>
      </c>
      <c r="P30" s="186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103" t="str">
        <f>IF(D30="","",VLOOKUP(D30,Datenblatt!$A$2:$D$31,4,FALSE))</f>
        <v/>
      </c>
      <c r="R30" s="104" t="str">
        <f>IF(E30="","",VLOOKUP(E30,Datenblatt!$E$2:$G$28,2,FALSE))</f>
        <v/>
      </c>
      <c r="S30" s="105"/>
      <c r="T30" s="111">
        <f t="shared" si="5"/>
        <v>0</v>
      </c>
      <c r="U30" s="114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12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12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54">
        <f t="array" ref="X30">IF(T30=0,0,IF((AND((ROW(T30)=MATCH(TRUE,($T$1:$T$44)&gt;0,0)))),IF(W30&gt;=6,W30-6,0),IF(W30&gt;=2,2,W30)))</f>
        <v>0</v>
      </c>
      <c r="Y30" s="254">
        <f t="array" ref="Y30">IF(T29=0,0,(IF((AND((ROW(T29)=MATCH(TRUE,($T$1:$T$44)&gt;0,0)))),IF(W29&gt;=6,6,W29),IF(W29&gt;=2,W29-2,0))))</f>
        <v>0</v>
      </c>
      <c r="Z30" s="111" t="str">
        <f t="shared" si="6"/>
        <v/>
      </c>
      <c r="AA30" s="214">
        <f>IF(E29="ND",IF(ISERROR(MATCH(D30,Datenblatt!$L$2:$L$18,0)),3,2),IF(E29="ND12,5",IF(ISERROR(MATCH(D30,Datenblatt!$L$2:$L$18,0)),2.5,2),0))</f>
        <v>0</v>
      </c>
      <c r="AB30" s="214">
        <f>IF((IF(E30="ND",14-IF(D30="",0,VLOOKUP(D30,Datenblatt!$L$2:$M$30,2,FALSE)),IF(E30="ND12,5",2,0)))&lt;0,0,(IF(E30="ND",14-IF(D30="",0,VLOOKUP(D30,Datenblatt!$L$2:$M$30,2,FALSE)),IF(E30="ND12,5",2,0))))</f>
        <v>0</v>
      </c>
      <c r="AC30" s="214">
        <f t="shared" si="7"/>
        <v>0</v>
      </c>
      <c r="AD30" s="214">
        <f t="shared" si="8"/>
        <v>0</v>
      </c>
      <c r="AE30" s="214">
        <f t="shared" si="9"/>
        <v>0</v>
      </c>
      <c r="AF30" s="112">
        <f t="shared" si="10"/>
        <v>0</v>
      </c>
      <c r="AG30" s="112">
        <f t="shared" si="11"/>
        <v>0</v>
      </c>
      <c r="AH30" s="112">
        <f>IF(E30="",0,VLOOKUP(E30,Datenblatt!$E$2:$G$28,3,FALSE))</f>
        <v>0</v>
      </c>
    </row>
    <row r="31" spans="1:34" ht="13" customHeight="1">
      <c r="A31" s="89" t="str">
        <f>IF(ISERROR(VLOOKUP(C31,Datenblatt!$B$84:$B$97,1,FALSE)),"","Ft")</f>
        <v/>
      </c>
      <c r="B31" s="84">
        <f t="shared" si="0"/>
        <v>45583</v>
      </c>
      <c r="C31" s="86">
        <f t="shared" si="4"/>
        <v>45583</v>
      </c>
      <c r="D31" s="67"/>
      <c r="E31" s="67"/>
      <c r="F31" s="68"/>
      <c r="G31" s="69"/>
      <c r="H31" s="68"/>
      <c r="I31" s="68"/>
      <c r="J31" s="99"/>
      <c r="K31" s="21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20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10" t="str">
        <f>IF(D31="","",IF(E30="ND",VLOOKUP(D31,Datenblatt!$A$2:$C$31,3,FALSE)-1,IF(E30="ND12,5",VLOOKUP(D31,Datenblatt!$A$2:$C$31,3,FALSE)-0.5,VLOOKUP(D31,Datenblatt!$A$2:$C$31,3,FALSE))))</f>
        <v/>
      </c>
      <c r="N31" s="211" t="str">
        <f t="shared" si="2"/>
        <v/>
      </c>
      <c r="O31" s="211" t="str">
        <f t="shared" si="3"/>
        <v/>
      </c>
      <c r="P31" s="186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103" t="str">
        <f>IF(D31="","",VLOOKUP(D31,Datenblatt!$A$2:$D$31,4,FALSE))</f>
        <v/>
      </c>
      <c r="R31" s="104" t="str">
        <f>IF(E31="","",VLOOKUP(E31,Datenblatt!$E$2:$G$28,2,FALSE))</f>
        <v/>
      </c>
      <c r="S31" s="105"/>
      <c r="T31" s="111">
        <f t="shared" si="5"/>
        <v>0</v>
      </c>
      <c r="U31" s="114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12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12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54">
        <f t="array" ref="X31">IF(T31=0,0,IF((AND((ROW(T31)=MATCH(TRUE,($T$1:$T$44)&gt;0,0)))),IF(W31&gt;=6,W31-6,0),IF(W31&gt;=2,2,W31)))</f>
        <v>0</v>
      </c>
      <c r="Y31" s="254">
        <f t="array" ref="Y31">IF(T30=0,0,(IF((AND((ROW(T30)=MATCH(TRUE,($T$1:$T$44)&gt;0,0)))),IF(W30&gt;=6,6,W30),IF(W30&gt;=2,W30-2,0))))</f>
        <v>0</v>
      </c>
      <c r="Z31" s="111" t="str">
        <f t="shared" si="6"/>
        <v/>
      </c>
      <c r="AA31" s="214">
        <f>IF(E30="ND",IF(ISERROR(MATCH(D31,Datenblatt!$L$2:$L$18,0)),3,2),IF(E30="ND12,5",IF(ISERROR(MATCH(D31,Datenblatt!$L$2:$L$18,0)),2.5,2),0))</f>
        <v>0</v>
      </c>
      <c r="AB31" s="214">
        <f>IF((IF(E31="ND",14-IF(D31="",0,VLOOKUP(D31,Datenblatt!$L$2:$M$30,2,FALSE)),IF(E31="ND12,5",2,0)))&lt;0,0,(IF(E31="ND",14-IF(D31="",0,VLOOKUP(D31,Datenblatt!$L$2:$M$30,2,FALSE)),IF(E31="ND12,5",2,0))))</f>
        <v>0</v>
      </c>
      <c r="AC31" s="214">
        <f t="shared" si="7"/>
        <v>0</v>
      </c>
      <c r="AD31" s="214">
        <f t="shared" si="8"/>
        <v>0</v>
      </c>
      <c r="AE31" s="214">
        <f t="shared" si="9"/>
        <v>0</v>
      </c>
      <c r="AF31" s="112">
        <f t="shared" si="10"/>
        <v>0</v>
      </c>
      <c r="AG31" s="112">
        <f t="shared" si="11"/>
        <v>0</v>
      </c>
      <c r="AH31" s="112">
        <f>IF(E31="",0,VLOOKUP(E31,Datenblatt!$E$2:$G$28,3,FALSE))</f>
        <v>0</v>
      </c>
    </row>
    <row r="32" spans="1:34" ht="13" customHeight="1">
      <c r="A32" s="89" t="str">
        <f>IF(ISERROR(VLOOKUP(C32,Datenblatt!$B$84:$B$97,1,FALSE)),"","Ft")</f>
        <v/>
      </c>
      <c r="B32" s="84">
        <f t="shared" si="0"/>
        <v>45584</v>
      </c>
      <c r="C32" s="86">
        <f t="shared" si="4"/>
        <v>45584</v>
      </c>
      <c r="D32" s="67"/>
      <c r="E32" s="67"/>
      <c r="F32" s="68"/>
      <c r="G32" s="69"/>
      <c r="H32" s="68"/>
      <c r="I32" s="68"/>
      <c r="J32" s="99"/>
      <c r="K32" s="21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20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10" t="str">
        <f>IF(D32="","",IF(E31="ND",VLOOKUP(D32,Datenblatt!$A$2:$C$31,3,FALSE)-1,IF(E31="ND12,5",VLOOKUP(D32,Datenblatt!$A$2:$C$31,3,FALSE)-0.5,VLOOKUP(D32,Datenblatt!$A$2:$C$31,3,FALSE))))</f>
        <v/>
      </c>
      <c r="N32" s="211" t="str">
        <f t="shared" si="2"/>
        <v/>
      </c>
      <c r="O32" s="211" t="str">
        <f t="shared" si="3"/>
        <v/>
      </c>
      <c r="P32" s="186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103" t="str">
        <f>IF(D32="","",VLOOKUP(D32,Datenblatt!$A$2:$D$31,4,FALSE))</f>
        <v/>
      </c>
      <c r="R32" s="104" t="str">
        <f>IF(E32="","",VLOOKUP(E32,Datenblatt!$E$2:$G$28,2,FALSE))</f>
        <v/>
      </c>
      <c r="S32" s="105"/>
      <c r="T32" s="111">
        <f t="shared" si="5"/>
        <v>0</v>
      </c>
      <c r="U32" s="114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12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12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54">
        <f t="array" ref="X32">IF(T32=0,0,IF((AND((ROW(T32)=MATCH(TRUE,($T$1:$T$44)&gt;0,0)))),IF(W32&gt;=6,W32-6,0),IF(W32&gt;=2,2,W32)))</f>
        <v>0</v>
      </c>
      <c r="Y32" s="254">
        <f t="array" ref="Y32">IF(T31=0,0,(IF((AND((ROW(T31)=MATCH(TRUE,($T$1:$T$44)&gt;0,0)))),IF(W31&gt;=6,6,W31),IF(W31&gt;=2,W31-2,0))))</f>
        <v>0</v>
      </c>
      <c r="Z32" s="111" t="str">
        <f t="shared" si="6"/>
        <v/>
      </c>
      <c r="AA32" s="214">
        <f>IF(E31="ND",IF(ISERROR(MATCH(D32,Datenblatt!$L$2:$L$18,0)),3,2),IF(E31="ND12,5",IF(ISERROR(MATCH(D32,Datenblatt!$L$2:$L$18,0)),2.5,2),0))</f>
        <v>0</v>
      </c>
      <c r="AB32" s="214">
        <f>IF((IF(E32="ND",14-IF(D32="",0,VLOOKUP(D32,Datenblatt!$L$2:$M$30,2,FALSE)),IF(E32="ND12,5",2,0)))&lt;0,0,(IF(E32="ND",14-IF(D32="",0,VLOOKUP(D32,Datenblatt!$L$2:$M$30,2,FALSE)),IF(E32="ND12,5",2,0))))</f>
        <v>0</v>
      </c>
      <c r="AC32" s="214">
        <f t="shared" si="7"/>
        <v>0</v>
      </c>
      <c r="AD32" s="214">
        <f t="shared" si="8"/>
        <v>0</v>
      </c>
      <c r="AE32" s="214">
        <f t="shared" si="9"/>
        <v>0</v>
      </c>
      <c r="AF32" s="112">
        <f t="shared" si="10"/>
        <v>0</v>
      </c>
      <c r="AG32" s="112">
        <f t="shared" si="11"/>
        <v>0</v>
      </c>
      <c r="AH32" s="112">
        <f>IF(E32="",0,VLOOKUP(E32,Datenblatt!$E$2:$G$28,3,FALSE))</f>
        <v>0</v>
      </c>
    </row>
    <row r="33" spans="1:34" ht="13" customHeight="1">
      <c r="A33" s="89" t="str">
        <f>IF(ISERROR(VLOOKUP(C33,Datenblatt!$B$84:$B$97,1,FALSE)),"","Ft")</f>
        <v/>
      </c>
      <c r="B33" s="84">
        <f t="shared" si="0"/>
        <v>45585</v>
      </c>
      <c r="C33" s="86">
        <f t="shared" si="4"/>
        <v>45585</v>
      </c>
      <c r="D33" s="67"/>
      <c r="E33" s="67"/>
      <c r="F33" s="68"/>
      <c r="G33" s="69"/>
      <c r="H33" s="68"/>
      <c r="I33" s="68"/>
      <c r="J33" s="99"/>
      <c r="K33" s="21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20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10" t="str">
        <f>IF(D33="","",IF(E32="ND",VLOOKUP(D33,Datenblatt!$A$2:$C$31,3,FALSE)-1,IF(E32="ND12,5",VLOOKUP(D33,Datenblatt!$A$2:$C$31,3,FALSE)-0.5,VLOOKUP(D33,Datenblatt!$A$2:$C$31,3,FALSE))))</f>
        <v/>
      </c>
      <c r="N33" s="211" t="str">
        <f t="shared" si="2"/>
        <v/>
      </c>
      <c r="O33" s="211">
        <f t="shared" si="3"/>
        <v>0</v>
      </c>
      <c r="P33" s="186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103" t="str">
        <f>IF(D33="","",VLOOKUP(D33,Datenblatt!$A$2:$D$31,4,FALSE))</f>
        <v/>
      </c>
      <c r="R33" s="104" t="str">
        <f>IF(E33="","",VLOOKUP(E33,Datenblatt!$E$2:$G$28,2,FALSE))</f>
        <v/>
      </c>
      <c r="S33" s="105"/>
      <c r="T33" s="111">
        <f t="shared" si="5"/>
        <v>0</v>
      </c>
      <c r="U33" s="114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12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12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54">
        <f t="array" ref="X33">IF(T33=0,0,IF((AND((ROW(T33)=MATCH(TRUE,($T$1:$T$44)&gt;0,0)))),IF(W33&gt;=6,W33-6,0),IF(W33&gt;=2,2,W33)))</f>
        <v>0</v>
      </c>
      <c r="Y33" s="254">
        <f t="array" ref="Y33">IF(T32=0,0,(IF((AND((ROW(T32)=MATCH(TRUE,($T$1:$T$44)&gt;0,0)))),IF(W32&gt;=6,6,W32),IF(W32&gt;=2,W32-2,0))))</f>
        <v>0</v>
      </c>
      <c r="Z33" s="111" t="str">
        <f t="shared" si="6"/>
        <v/>
      </c>
      <c r="AA33" s="214">
        <f>IF(E32="ND",IF(ISERROR(MATCH(D33,Datenblatt!$L$2:$L$18,0)),3,2),IF(E32="ND12,5",IF(ISERROR(MATCH(D33,Datenblatt!$L$2:$L$18,0)),2.5,2),0))</f>
        <v>0</v>
      </c>
      <c r="AB33" s="214">
        <f>IF((IF(E33="ND",14-IF(D33="",0,VLOOKUP(D33,Datenblatt!$L$2:$M$30,2,FALSE)),IF(E33="ND12,5",2,0)))&lt;0,0,(IF(E33="ND",14-IF(D33="",0,VLOOKUP(D33,Datenblatt!$L$2:$M$30,2,FALSE)),IF(E33="ND12,5",2,0))))</f>
        <v>0</v>
      </c>
      <c r="AC33" s="214">
        <f t="shared" si="7"/>
        <v>0</v>
      </c>
      <c r="AD33" s="214">
        <f t="shared" si="8"/>
        <v>0</v>
      </c>
      <c r="AE33" s="214">
        <f t="shared" si="9"/>
        <v>0</v>
      </c>
      <c r="AF33" s="112">
        <f t="shared" si="10"/>
        <v>0</v>
      </c>
      <c r="AG33" s="112">
        <f t="shared" si="11"/>
        <v>0</v>
      </c>
      <c r="AH33" s="112">
        <f>IF(E33="",0,VLOOKUP(E33,Datenblatt!$E$2:$G$28,3,FALSE))</f>
        <v>0</v>
      </c>
    </row>
    <row r="34" spans="1:34" ht="13" customHeight="1">
      <c r="A34" s="89" t="str">
        <f>IF(ISERROR(VLOOKUP(C34,Datenblatt!$B$84:$B$97,1,FALSE)),"","Ft")</f>
        <v/>
      </c>
      <c r="B34" s="84">
        <f t="shared" si="0"/>
        <v>45586</v>
      </c>
      <c r="C34" s="86">
        <f t="shared" si="4"/>
        <v>45586</v>
      </c>
      <c r="D34" s="67"/>
      <c r="E34" s="67"/>
      <c r="F34" s="68"/>
      <c r="G34" s="69"/>
      <c r="H34" s="68"/>
      <c r="I34" s="68"/>
      <c r="J34" s="99"/>
      <c r="K34" s="21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20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10" t="str">
        <f>IF(D34="","",IF(E33="ND",VLOOKUP(D34,Datenblatt!$A$2:$C$31,3,FALSE)-1,IF(E33="ND12,5",VLOOKUP(D34,Datenblatt!$A$2:$C$31,3,FALSE)-0.5,VLOOKUP(D34,Datenblatt!$A$2:$C$31,3,FALSE))))</f>
        <v/>
      </c>
      <c r="N34" s="211" t="str">
        <f t="shared" si="2"/>
        <v/>
      </c>
      <c r="O34" s="211" t="str">
        <f t="shared" si="3"/>
        <v/>
      </c>
      <c r="P34" s="186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103" t="str">
        <f>IF(D34="","",VLOOKUP(D34,Datenblatt!$A$2:$D$31,4,FALSE))</f>
        <v/>
      </c>
      <c r="R34" s="104" t="str">
        <f>IF(E34="","",VLOOKUP(E34,Datenblatt!$E$2:$G$28,2,FALSE))</f>
        <v/>
      </c>
      <c r="S34" s="105"/>
      <c r="T34" s="111">
        <f t="shared" si="5"/>
        <v>0</v>
      </c>
      <c r="U34" s="114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12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12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54">
        <f t="array" ref="X34">IF(T34=0,0,IF((AND((ROW(T34)=MATCH(TRUE,($T$1:$T$44)&gt;0,0)))),IF(W34&gt;=6,W34-6,0),IF(W34&gt;=2,2,W34)))</f>
        <v>0</v>
      </c>
      <c r="Y34" s="254">
        <f t="array" ref="Y34">IF(T33=0,0,(IF((AND((ROW(T33)=MATCH(TRUE,($T$1:$T$44)&gt;0,0)))),IF(W33&gt;=6,6,W33),IF(W33&gt;=2,W33-2,0))))</f>
        <v>0</v>
      </c>
      <c r="Z34" s="111" t="str">
        <f t="shared" si="6"/>
        <v/>
      </c>
      <c r="AA34" s="214">
        <f>IF(E33="ND",IF(ISERROR(MATCH(D34,Datenblatt!$L$2:$L$18,0)),3,2),IF(E33="ND12,5",IF(ISERROR(MATCH(D34,Datenblatt!$L$2:$L$18,0)),2.5,2),0))</f>
        <v>0</v>
      </c>
      <c r="AB34" s="214">
        <f>IF((IF(E34="ND",14-IF(D34="",0,VLOOKUP(D34,Datenblatt!$L$2:$M$30,2,FALSE)),IF(E34="ND12,5",2,0)))&lt;0,0,(IF(E34="ND",14-IF(D34="",0,VLOOKUP(D34,Datenblatt!$L$2:$M$30,2,FALSE)),IF(E34="ND12,5",2,0))))</f>
        <v>0</v>
      </c>
      <c r="AC34" s="214">
        <f t="shared" si="7"/>
        <v>0</v>
      </c>
      <c r="AD34" s="214">
        <f t="shared" si="8"/>
        <v>0</v>
      </c>
      <c r="AE34" s="214">
        <f t="shared" si="9"/>
        <v>0</v>
      </c>
      <c r="AF34" s="112">
        <f t="shared" si="10"/>
        <v>0</v>
      </c>
      <c r="AG34" s="112">
        <f t="shared" si="11"/>
        <v>0</v>
      </c>
      <c r="AH34" s="112">
        <f>IF(E34="",0,VLOOKUP(E34,Datenblatt!$E$2:$G$28,3,FALSE))</f>
        <v>0</v>
      </c>
    </row>
    <row r="35" spans="1:34" ht="13" customHeight="1">
      <c r="A35" s="89" t="str">
        <f>IF(ISERROR(VLOOKUP(C35,Datenblatt!$B$84:$B$97,1,FALSE)),"","Ft")</f>
        <v/>
      </c>
      <c r="B35" s="84">
        <f t="shared" si="0"/>
        <v>45587</v>
      </c>
      <c r="C35" s="86">
        <f t="shared" si="4"/>
        <v>45587</v>
      </c>
      <c r="D35" s="67"/>
      <c r="E35" s="67"/>
      <c r="F35" s="68"/>
      <c r="G35" s="69"/>
      <c r="H35" s="68"/>
      <c r="I35" s="68"/>
      <c r="J35" s="99"/>
      <c r="K35" s="21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20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10" t="str">
        <f>IF(D35="","",IF(E34="ND",VLOOKUP(D35,Datenblatt!$A$2:$C$31,3,FALSE)-1,IF(E34="ND12,5",VLOOKUP(D35,Datenblatt!$A$2:$C$31,3,FALSE)-0.5,VLOOKUP(D35,Datenblatt!$A$2:$C$31,3,FALSE))))</f>
        <v/>
      </c>
      <c r="N35" s="211" t="str">
        <f t="shared" si="2"/>
        <v/>
      </c>
      <c r="O35" s="211" t="str">
        <f t="shared" si="3"/>
        <v/>
      </c>
      <c r="P35" s="186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103" t="str">
        <f>IF(D35="","",VLOOKUP(D35,Datenblatt!$A$2:$D$31,4,FALSE))</f>
        <v/>
      </c>
      <c r="R35" s="104" t="str">
        <f>IF(E35="","",VLOOKUP(E35,Datenblatt!$E$2:$G$28,2,FALSE))</f>
        <v/>
      </c>
      <c r="S35" s="105"/>
      <c r="T35" s="111">
        <f t="shared" si="5"/>
        <v>0</v>
      </c>
      <c r="U35" s="114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12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12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54">
        <f t="array" ref="X35">IF(T35=0,0,IF((AND((ROW(T35)=MATCH(TRUE,($T$1:$T$44)&gt;0,0)))),IF(W35&gt;=6,W35-6,0),IF(W35&gt;=2,2,W35)))</f>
        <v>0</v>
      </c>
      <c r="Y35" s="254">
        <f t="array" ref="Y35">IF(T34=0,0,(IF((AND((ROW(T34)=MATCH(TRUE,($T$1:$T$44)&gt;0,0)))),IF(W34&gt;=6,6,W34),IF(W34&gt;=2,W34-2,0))))</f>
        <v>0</v>
      </c>
      <c r="Z35" s="111" t="str">
        <f t="shared" si="6"/>
        <v/>
      </c>
      <c r="AA35" s="214">
        <f>IF(E34="ND",IF(ISERROR(MATCH(D35,Datenblatt!$L$2:$L$18,0)),3,2),IF(E34="ND12,5",IF(ISERROR(MATCH(D35,Datenblatt!$L$2:$L$18,0)),2.5,2),0))</f>
        <v>0</v>
      </c>
      <c r="AB35" s="214">
        <f>IF((IF(E35="ND",14-IF(D35="",0,VLOOKUP(D35,Datenblatt!$L$2:$M$30,2,FALSE)),IF(E35="ND12,5",2,0)))&lt;0,0,(IF(E35="ND",14-IF(D35="",0,VLOOKUP(D35,Datenblatt!$L$2:$M$30,2,FALSE)),IF(E35="ND12,5",2,0))))</f>
        <v>0</v>
      </c>
      <c r="AC35" s="214">
        <f t="shared" si="7"/>
        <v>0</v>
      </c>
      <c r="AD35" s="214">
        <f t="shared" si="8"/>
        <v>0</v>
      </c>
      <c r="AE35" s="214">
        <f t="shared" si="9"/>
        <v>0</v>
      </c>
      <c r="AF35" s="112">
        <f t="shared" si="10"/>
        <v>0</v>
      </c>
      <c r="AG35" s="112">
        <f t="shared" si="11"/>
        <v>0</v>
      </c>
      <c r="AH35" s="112">
        <f>IF(E35="",0,VLOOKUP(E35,Datenblatt!$E$2:$G$28,3,FALSE))</f>
        <v>0</v>
      </c>
    </row>
    <row r="36" spans="1:34" ht="13" customHeight="1">
      <c r="A36" s="89" t="str">
        <f>IF(ISERROR(VLOOKUP(C36,Datenblatt!$B$84:$B$97,1,FALSE)),"","Ft")</f>
        <v/>
      </c>
      <c r="B36" s="84">
        <f t="shared" si="0"/>
        <v>45588</v>
      </c>
      <c r="C36" s="86">
        <f t="shared" si="4"/>
        <v>45588</v>
      </c>
      <c r="D36" s="67"/>
      <c r="E36" s="67"/>
      <c r="F36" s="68"/>
      <c r="G36" s="69"/>
      <c r="H36" s="68"/>
      <c r="I36" s="68"/>
      <c r="J36" s="99"/>
      <c r="K36" s="21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20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10" t="str">
        <f>IF(D36="","",IF(E35="ND",VLOOKUP(D36,Datenblatt!$A$2:$C$31,3,FALSE)-1,IF(E35="ND12,5",VLOOKUP(D36,Datenblatt!$A$2:$C$31,3,FALSE)-0.5,VLOOKUP(D36,Datenblatt!$A$2:$C$31,3,FALSE))))</f>
        <v/>
      </c>
      <c r="N36" s="211" t="str">
        <f t="shared" si="2"/>
        <v/>
      </c>
      <c r="O36" s="211" t="str">
        <f t="shared" si="3"/>
        <v/>
      </c>
      <c r="P36" s="186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103" t="str">
        <f>IF(D36="","",VLOOKUP(D36,Datenblatt!$A$2:$D$31,4,FALSE))</f>
        <v/>
      </c>
      <c r="R36" s="104" t="str">
        <f>IF(E36="","",VLOOKUP(E36,Datenblatt!$E$2:$G$28,2,FALSE))</f>
        <v/>
      </c>
      <c r="S36" s="105"/>
      <c r="T36" s="111">
        <f t="shared" si="5"/>
        <v>0</v>
      </c>
      <c r="U36" s="114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12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12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54">
        <f t="array" ref="X36">IF(T36=0,0,IF((AND((ROW(T36)=MATCH(TRUE,($T$1:$T$44)&gt;0,0)))),IF(W36&gt;=6,W36-6,0),IF(W36&gt;=2,2,W36)))</f>
        <v>0</v>
      </c>
      <c r="Y36" s="254">
        <f t="array" ref="Y36">IF(T35=0,0,(IF((AND((ROW(T35)=MATCH(TRUE,($T$1:$T$44)&gt;0,0)))),IF(W35&gt;=6,6,W35),IF(W35&gt;=2,W35-2,0))))</f>
        <v>0</v>
      </c>
      <c r="Z36" s="111" t="str">
        <f t="shared" si="6"/>
        <v/>
      </c>
      <c r="AA36" s="214">
        <f>IF(E35="ND",IF(ISERROR(MATCH(D36,Datenblatt!$L$2:$L$18,0)),3,2),IF(E35="ND12,5",IF(ISERROR(MATCH(D36,Datenblatt!$L$2:$L$18,0)),2.5,2),0))</f>
        <v>0</v>
      </c>
      <c r="AB36" s="214">
        <f>IF((IF(E36="ND",14-IF(D36="",0,VLOOKUP(D36,Datenblatt!$L$2:$M$30,2,FALSE)),IF(E36="ND12,5",2,0)))&lt;0,0,(IF(E36="ND",14-IF(D36="",0,VLOOKUP(D36,Datenblatt!$L$2:$M$30,2,FALSE)),IF(E36="ND12,5",2,0))))</f>
        <v>0</v>
      </c>
      <c r="AC36" s="214">
        <f t="shared" si="7"/>
        <v>0</v>
      </c>
      <c r="AD36" s="214">
        <f t="shared" si="8"/>
        <v>0</v>
      </c>
      <c r="AE36" s="214">
        <f t="shared" si="9"/>
        <v>0</v>
      </c>
      <c r="AF36" s="112">
        <f t="shared" si="10"/>
        <v>0</v>
      </c>
      <c r="AG36" s="112">
        <f t="shared" si="11"/>
        <v>0</v>
      </c>
      <c r="AH36" s="112">
        <f>IF(E36="",0,VLOOKUP(E36,Datenblatt!$E$2:$G$28,3,FALSE))</f>
        <v>0</v>
      </c>
    </row>
    <row r="37" spans="1:34" ht="13" customHeight="1">
      <c r="A37" s="89" t="str">
        <f>IF(ISERROR(VLOOKUP(C37,Datenblatt!$B$84:$B$97,1,FALSE)),"","Ft")</f>
        <v/>
      </c>
      <c r="B37" s="84">
        <f t="shared" si="0"/>
        <v>45589</v>
      </c>
      <c r="C37" s="86">
        <f t="shared" si="4"/>
        <v>45589</v>
      </c>
      <c r="D37" s="67"/>
      <c r="E37" s="67"/>
      <c r="F37" s="68"/>
      <c r="G37" s="69"/>
      <c r="H37" s="68"/>
      <c r="I37" s="68"/>
      <c r="J37" s="99"/>
      <c r="K37" s="21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20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10" t="str">
        <f>IF(D37="","",IF(E36="ND",VLOOKUP(D37,Datenblatt!$A$2:$C$31,3,FALSE)-1,IF(E36="ND12,5",VLOOKUP(D37,Datenblatt!$A$2:$C$31,3,FALSE)-0.5,VLOOKUP(D37,Datenblatt!$A$2:$C$31,3,FALSE))))</f>
        <v/>
      </c>
      <c r="N37" s="211" t="str">
        <f t="shared" si="2"/>
        <v/>
      </c>
      <c r="O37" s="211" t="str">
        <f t="shared" si="3"/>
        <v/>
      </c>
      <c r="P37" s="186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103" t="str">
        <f>IF(D37="","",VLOOKUP(D37,Datenblatt!$A$2:$D$31,4,FALSE))</f>
        <v/>
      </c>
      <c r="R37" s="104" t="str">
        <f>IF(E37="","",VLOOKUP(E37,Datenblatt!$E$2:$G$28,2,FALSE))</f>
        <v/>
      </c>
      <c r="S37" s="105"/>
      <c r="T37" s="111">
        <f t="shared" si="5"/>
        <v>0</v>
      </c>
      <c r="U37" s="114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12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12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54">
        <f t="array" ref="X37">IF(T37=0,0,IF((AND((ROW(T37)=MATCH(TRUE,($T$1:$T$44)&gt;0,0)))),IF(W37&gt;=6,W37-6,0),IF(W37&gt;=2,2,W37)))</f>
        <v>0</v>
      </c>
      <c r="Y37" s="254">
        <f t="array" ref="Y37">IF(T36=0,0,(IF((AND((ROW(T36)=MATCH(TRUE,($T$1:$T$44)&gt;0,0)))),IF(W36&gt;=6,6,W36),IF(W36&gt;=2,W36-2,0))))</f>
        <v>0</v>
      </c>
      <c r="Z37" s="111" t="str">
        <f t="shared" si="6"/>
        <v/>
      </c>
      <c r="AA37" s="214">
        <f>IF(E36="ND",IF(ISERROR(MATCH(D37,Datenblatt!$L$2:$L$18,0)),3,2),IF(E36="ND12,5",IF(ISERROR(MATCH(D37,Datenblatt!$L$2:$L$18,0)),2.5,2),0))</f>
        <v>0</v>
      </c>
      <c r="AB37" s="214">
        <f>IF((IF(E37="ND",14-IF(D37="",0,VLOOKUP(D37,Datenblatt!$L$2:$M$30,2,FALSE)),IF(E37="ND12,5",2,0)))&lt;0,0,(IF(E37="ND",14-IF(D37="",0,VLOOKUP(D37,Datenblatt!$L$2:$M$30,2,FALSE)),IF(E37="ND12,5",2,0))))</f>
        <v>0</v>
      </c>
      <c r="AC37" s="214">
        <f t="shared" si="7"/>
        <v>0</v>
      </c>
      <c r="AD37" s="214">
        <f t="shared" si="8"/>
        <v>0</v>
      </c>
      <c r="AE37" s="214">
        <f t="shared" si="9"/>
        <v>0</v>
      </c>
      <c r="AF37" s="112">
        <f t="shared" si="10"/>
        <v>0</v>
      </c>
      <c r="AG37" s="112">
        <f t="shared" si="11"/>
        <v>0</v>
      </c>
      <c r="AH37" s="112">
        <f>IF(E37="",0,VLOOKUP(E37,Datenblatt!$E$2:$G$28,3,FALSE))</f>
        <v>0</v>
      </c>
    </row>
    <row r="38" spans="1:34" ht="13" customHeight="1">
      <c r="A38" s="89" t="str">
        <f>IF(ISERROR(VLOOKUP(C38,Datenblatt!$B$84:$B$97,1,FALSE)),"","Ft")</f>
        <v/>
      </c>
      <c r="B38" s="84">
        <f t="shared" si="0"/>
        <v>45590</v>
      </c>
      <c r="C38" s="86">
        <f t="shared" si="4"/>
        <v>45590</v>
      </c>
      <c r="D38" s="67"/>
      <c r="E38" s="67"/>
      <c r="F38" s="68"/>
      <c r="G38" s="69"/>
      <c r="H38" s="68"/>
      <c r="I38" s="68"/>
      <c r="J38" s="99"/>
      <c r="K38" s="21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20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10" t="str">
        <f>IF(D38="","",IF(E37="ND",VLOOKUP(D38,Datenblatt!$A$2:$C$31,3,FALSE)-1,IF(E37="ND12,5",VLOOKUP(D38,Datenblatt!$A$2:$C$31,3,FALSE)-0.5,VLOOKUP(D38,Datenblatt!$A$2:$C$31,3,FALSE))))</f>
        <v/>
      </c>
      <c r="N38" s="211" t="str">
        <f t="shared" si="2"/>
        <v/>
      </c>
      <c r="O38" s="211" t="str">
        <f t="shared" si="3"/>
        <v/>
      </c>
      <c r="P38" s="186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103" t="str">
        <f>IF(D38="","",VLOOKUP(D38,Datenblatt!$A$2:$D$31,4,FALSE))</f>
        <v/>
      </c>
      <c r="R38" s="104" t="str">
        <f>IF(E38="","",VLOOKUP(E38,Datenblatt!$E$2:$G$28,2,FALSE))</f>
        <v/>
      </c>
      <c r="S38" s="105"/>
      <c r="T38" s="111">
        <f t="shared" si="5"/>
        <v>0</v>
      </c>
      <c r="U38" s="114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12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12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54">
        <f t="array" ref="X38">IF(T38=0,0,IF((AND((ROW(T38)=MATCH(TRUE,($T$1:$T$44)&gt;0,0)))),IF(W38&gt;=6,W38-6,0),IF(W38&gt;=2,2,W38)))</f>
        <v>0</v>
      </c>
      <c r="Y38" s="254">
        <f t="array" ref="Y38">IF(T37=0,0,(IF((AND((ROW(T37)=MATCH(TRUE,($T$1:$T$44)&gt;0,0)))),IF(W37&gt;=6,6,W37),IF(W37&gt;=2,W37-2,0))))</f>
        <v>0</v>
      </c>
      <c r="Z38" s="111" t="str">
        <f t="shared" si="6"/>
        <v/>
      </c>
      <c r="AA38" s="214">
        <f>IF(E37="ND",IF(ISERROR(MATCH(D38,Datenblatt!$L$2:$L$18,0)),3,2),IF(E37="ND12,5",IF(ISERROR(MATCH(D38,Datenblatt!$L$2:$L$18,0)),2.5,2),0))</f>
        <v>0</v>
      </c>
      <c r="AB38" s="214">
        <f>IF((IF(E38="ND",14-IF(D38="",0,VLOOKUP(D38,Datenblatt!$L$2:$M$30,2,FALSE)),IF(E38="ND12,5",2,0)))&lt;0,0,(IF(E38="ND",14-IF(D38="",0,VLOOKUP(D38,Datenblatt!$L$2:$M$30,2,FALSE)),IF(E38="ND12,5",2,0))))</f>
        <v>0</v>
      </c>
      <c r="AC38" s="214">
        <f t="shared" si="7"/>
        <v>0</v>
      </c>
      <c r="AD38" s="214">
        <f t="shared" si="8"/>
        <v>0</v>
      </c>
      <c r="AE38" s="214">
        <f t="shared" si="9"/>
        <v>0</v>
      </c>
      <c r="AF38" s="112">
        <f t="shared" si="10"/>
        <v>0</v>
      </c>
      <c r="AG38" s="112">
        <f t="shared" si="11"/>
        <v>0</v>
      </c>
      <c r="AH38" s="112">
        <f>IF(E38="",0,VLOOKUP(E38,Datenblatt!$E$2:$G$28,3,FALSE))</f>
        <v>0</v>
      </c>
    </row>
    <row r="39" spans="1:34" ht="13" customHeight="1">
      <c r="A39" s="89" t="str">
        <f>IF(ISERROR(VLOOKUP(C39,Datenblatt!$B$84:$B$97,1,FALSE)),"","Ft")</f>
        <v>Ft</v>
      </c>
      <c r="B39" s="84">
        <f t="shared" si="0"/>
        <v>45591</v>
      </c>
      <c r="C39" s="86">
        <f t="shared" si="4"/>
        <v>45591</v>
      </c>
      <c r="D39" s="67"/>
      <c r="E39" s="67"/>
      <c r="F39" s="68"/>
      <c r="G39" s="69"/>
      <c r="H39" s="68"/>
      <c r="I39" s="68"/>
      <c r="J39" s="99"/>
      <c r="K39" s="21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20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10" t="str">
        <f>IF(D39="","",IF(E38="ND",VLOOKUP(D39,Datenblatt!$A$2:$C$31,3,FALSE)-1,IF(E38="ND12,5",VLOOKUP(D39,Datenblatt!$A$2:$C$31,3,FALSE)-0.5,VLOOKUP(D39,Datenblatt!$A$2:$C$31,3,FALSE))))</f>
        <v/>
      </c>
      <c r="N39" s="211" t="str">
        <f t="shared" si="2"/>
        <v/>
      </c>
      <c r="O39" s="211">
        <f t="shared" si="3"/>
        <v>0</v>
      </c>
      <c r="P39" s="186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103" t="str">
        <f>IF(D39="","",VLOOKUP(D39,Datenblatt!$A$2:$D$31,4,FALSE))</f>
        <v/>
      </c>
      <c r="R39" s="104" t="str">
        <f>IF(E39="","",VLOOKUP(E39,Datenblatt!$E$2:$G$28,2,FALSE))</f>
        <v/>
      </c>
      <c r="S39" s="105"/>
      <c r="T39" s="111">
        <f t="shared" si="5"/>
        <v>0</v>
      </c>
      <c r="U39" s="114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12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12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54">
        <f t="array" ref="X39">IF(T39=0,0,IF((AND((ROW(T39)=MATCH(TRUE,($T$1:$T$44)&gt;0,0)))),IF(W39&gt;=6,W39-6,0),IF(W39&gt;=2,2,W39)))</f>
        <v>0</v>
      </c>
      <c r="Y39" s="254">
        <f t="array" ref="Y39">IF(T38=0,0,(IF((AND((ROW(T38)=MATCH(TRUE,($T$1:$T$44)&gt;0,0)))),IF(W38&gt;=6,6,W38),IF(W38&gt;=2,W38-2,0))))</f>
        <v>0</v>
      </c>
      <c r="Z39" s="111" t="str">
        <f t="shared" si="6"/>
        <v/>
      </c>
      <c r="AA39" s="214">
        <f>IF(E38="ND",IF(ISERROR(MATCH(D39,Datenblatt!$L$2:$L$18,0)),3,2),IF(E38="ND12,5",IF(ISERROR(MATCH(D39,Datenblatt!$L$2:$L$18,0)),2.5,2),0))</f>
        <v>0</v>
      </c>
      <c r="AB39" s="214">
        <f>IF((IF(E39="ND",14-IF(D39="",0,VLOOKUP(D39,Datenblatt!$L$2:$M$30,2,FALSE)),IF(E39="ND12,5",2,0)))&lt;0,0,(IF(E39="ND",14-IF(D39="",0,VLOOKUP(D39,Datenblatt!$L$2:$M$30,2,FALSE)),IF(E39="ND12,5",2,0))))</f>
        <v>0</v>
      </c>
      <c r="AC39" s="214">
        <f t="shared" si="7"/>
        <v>0</v>
      </c>
      <c r="AD39" s="214">
        <f t="shared" si="8"/>
        <v>0</v>
      </c>
      <c r="AE39" s="214">
        <f t="shared" si="9"/>
        <v>0</v>
      </c>
      <c r="AF39" s="112">
        <f t="shared" si="10"/>
        <v>0</v>
      </c>
      <c r="AG39" s="112">
        <f t="shared" si="11"/>
        <v>0</v>
      </c>
      <c r="AH39" s="112">
        <f>IF(E39="",0,VLOOKUP(E39,Datenblatt!$E$2:$G$28,3,FALSE))</f>
        <v>0</v>
      </c>
    </row>
    <row r="40" spans="1:34" ht="13" customHeight="1">
      <c r="A40" s="89" t="str">
        <f>IF(ISERROR(VLOOKUP(C40,Datenblatt!$B$84:$B$97,1,FALSE)),"","Ft")</f>
        <v/>
      </c>
      <c r="B40" s="84">
        <f t="shared" si="0"/>
        <v>45592</v>
      </c>
      <c r="C40" s="86">
        <f t="shared" si="4"/>
        <v>45592</v>
      </c>
      <c r="D40" s="67"/>
      <c r="E40" s="67"/>
      <c r="F40" s="68"/>
      <c r="G40" s="69"/>
      <c r="H40" s="68"/>
      <c r="I40" s="68"/>
      <c r="J40" s="99"/>
      <c r="K40" s="21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20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10" t="str">
        <f>IF(D40="","",IF(E39="ND",VLOOKUP(D40,Datenblatt!$A$2:$C$31,3,FALSE)-1,IF(E39="ND12,5",VLOOKUP(D40,Datenblatt!$A$2:$C$31,3,FALSE)-0.5,VLOOKUP(D40,Datenblatt!$A$2:$C$31,3,FALSE))))</f>
        <v/>
      </c>
      <c r="N40" s="211" t="str">
        <f t="shared" si="2"/>
        <v/>
      </c>
      <c r="O40" s="211">
        <f t="shared" si="3"/>
        <v>0</v>
      </c>
      <c r="P40" s="186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103" t="str">
        <f>IF(D40="","",VLOOKUP(D40,Datenblatt!$A$2:$D$31,4,FALSE))</f>
        <v/>
      </c>
      <c r="R40" s="104" t="str">
        <f>IF(E40="","",VLOOKUP(E40,Datenblatt!$E$2:$G$28,2,FALSE))</f>
        <v/>
      </c>
      <c r="S40" s="106"/>
      <c r="T40" s="111">
        <f t="shared" si="5"/>
        <v>0</v>
      </c>
      <c r="U40" s="114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12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12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54">
        <f t="array" ref="X40">IF(T40=0,0,IF((AND((ROW(T40)=MATCH(TRUE,($T$1:$T$44)&gt;0,0)))),IF(W40&gt;=6,W40-6,0),IF(W40&gt;=2,2,W40)))</f>
        <v>0</v>
      </c>
      <c r="Y40" s="254">
        <f t="array" ref="Y40">IF(T39=0,0,(IF((AND((ROW(T39)=MATCH(TRUE,($T$1:$T$44)&gt;0,0)))),IF(W39&gt;=6,6,W39),IF(W39&gt;=2,W39-2,0))))</f>
        <v>0</v>
      </c>
      <c r="Z40" s="111" t="str">
        <f t="shared" si="6"/>
        <v/>
      </c>
      <c r="AA40" s="214">
        <f>IF(E39="ND",IF(ISERROR(MATCH(D40,Datenblatt!$L$2:$L$18,0)),3,2),IF(E39="ND12,5",IF(ISERROR(MATCH(D40,Datenblatt!$L$2:$L$18,0)),2.5,2),0))</f>
        <v>0</v>
      </c>
      <c r="AB40" s="214">
        <f>IF((IF(E40="ND",14-IF(D40="",0,VLOOKUP(D40,Datenblatt!$L$2:$M$30,2,FALSE)),IF(E40="ND12,5",2,0)))&lt;0,0,(IF(E40="ND",14-IF(D40="",0,VLOOKUP(D40,Datenblatt!$L$2:$M$30,2,FALSE)),IF(E40="ND12,5",2,0))))</f>
        <v>0</v>
      </c>
      <c r="AC40" s="214">
        <f t="shared" si="7"/>
        <v>0</v>
      </c>
      <c r="AD40" s="214">
        <f t="shared" si="8"/>
        <v>0</v>
      </c>
      <c r="AE40" s="214">
        <f t="shared" si="9"/>
        <v>0</v>
      </c>
      <c r="AF40" s="112">
        <f t="shared" si="10"/>
        <v>0</v>
      </c>
      <c r="AG40" s="112">
        <f t="shared" si="11"/>
        <v>0</v>
      </c>
      <c r="AH40" s="112">
        <f>IF(E40="",0,VLOOKUP(E40,Datenblatt!$E$2:$G$28,3,FALSE))</f>
        <v>0</v>
      </c>
    </row>
    <row r="41" spans="1:34" ht="13" customHeight="1">
      <c r="A41" s="89" t="str">
        <f>IF(ISERROR(VLOOKUP(C41,Datenblatt!$B$84:$B$97,1,FALSE)),"","Ft")</f>
        <v/>
      </c>
      <c r="B41" s="84">
        <f t="shared" si="0"/>
        <v>45593</v>
      </c>
      <c r="C41" s="86">
        <f t="shared" si="4"/>
        <v>45593</v>
      </c>
      <c r="D41" s="67"/>
      <c r="E41" s="67"/>
      <c r="F41" s="68"/>
      <c r="G41" s="69"/>
      <c r="H41" s="68"/>
      <c r="I41" s="68"/>
      <c r="J41" s="99"/>
      <c r="K41" s="21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20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10" t="str">
        <f>IF(D41="","",IF(E40="ND",VLOOKUP(D41,Datenblatt!$A$2:$C$31,3,FALSE)-1,IF(E40="ND12,5",VLOOKUP(D41,Datenblatt!$A$2:$C$31,3,FALSE)-0.5,VLOOKUP(D41,Datenblatt!$A$2:$C$31,3,FALSE))))</f>
        <v/>
      </c>
      <c r="N41" s="211" t="str">
        <f t="shared" si="2"/>
        <v/>
      </c>
      <c r="O41" s="211" t="str">
        <f t="shared" si="3"/>
        <v/>
      </c>
      <c r="P41" s="186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103" t="str">
        <f>IF(D41="","",VLOOKUP(D41,Datenblatt!$A$2:$D$31,4,FALSE))</f>
        <v/>
      </c>
      <c r="R41" s="104" t="str">
        <f>IF(E41="","",VLOOKUP(E41,Datenblatt!$E$2:$G$28,2,FALSE))</f>
        <v/>
      </c>
      <c r="S41" s="106"/>
      <c r="T41" s="111">
        <f t="shared" si="5"/>
        <v>0</v>
      </c>
      <c r="U41" s="114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12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12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54">
        <f t="array" ref="X41">IF(T41=0,0,IF((AND((ROW(T41)=MATCH(TRUE,($T$1:$T$44)&gt;0,0)))),IF(W41&gt;=6,W41-6,0),IF(W41&gt;=2,2,W41)))</f>
        <v>0</v>
      </c>
      <c r="Y41" s="254">
        <f t="array" ref="Y41">IF(T40=0,0,(IF((AND((ROW(T40)=MATCH(TRUE,($T$1:$T$44)&gt;0,0)))),IF(W40&gt;=6,6,W40),IF(W40&gt;=2,W40-2,0))))</f>
        <v>0</v>
      </c>
      <c r="Z41" s="111" t="str">
        <f t="shared" si="6"/>
        <v/>
      </c>
      <c r="AA41" s="214">
        <f>IF(E40="ND",IF(ISERROR(MATCH(D41,Datenblatt!$L$2:$L$18,0)),3,2),IF(E40="ND12,5",IF(ISERROR(MATCH(D41,Datenblatt!$L$2:$L$18,0)),2.5,2),0))</f>
        <v>0</v>
      </c>
      <c r="AB41" s="214">
        <f>IF((IF(E41="ND",14-IF(D41="",0,VLOOKUP(D41,Datenblatt!$L$2:$M$30,2,FALSE)),IF(E41="ND12,5",2,0)))&lt;0,0,(IF(E41="ND",14-IF(D41="",0,VLOOKUP(D41,Datenblatt!$L$2:$M$30,2,FALSE)),IF(E41="ND12,5",2,0))))</f>
        <v>0</v>
      </c>
      <c r="AC41" s="214">
        <f t="shared" si="7"/>
        <v>0</v>
      </c>
      <c r="AD41" s="214">
        <f t="shared" si="8"/>
        <v>0</v>
      </c>
      <c r="AE41" s="214">
        <f t="shared" si="9"/>
        <v>0</v>
      </c>
      <c r="AF41" s="112">
        <f t="shared" si="10"/>
        <v>0</v>
      </c>
      <c r="AG41" s="112">
        <f t="shared" si="11"/>
        <v>0</v>
      </c>
      <c r="AH41" s="112">
        <f>IF(E41="",0,VLOOKUP(E41,Datenblatt!$E$2:$G$28,3,FALSE))</f>
        <v>0</v>
      </c>
    </row>
    <row r="42" spans="1:34" ht="13" customHeight="1">
      <c r="A42" s="89" t="str">
        <f>IF(ISERROR(VLOOKUP(C42,Datenblatt!$B$84:$B$97,1,FALSE)),"","Ft")</f>
        <v/>
      </c>
      <c r="B42" s="84">
        <f t="shared" si="0"/>
        <v>45594</v>
      </c>
      <c r="C42" s="86">
        <f>C41+1</f>
        <v>45594</v>
      </c>
      <c r="D42" s="67"/>
      <c r="E42" s="67"/>
      <c r="F42" s="68"/>
      <c r="G42" s="69"/>
      <c r="H42" s="68"/>
      <c r="I42" s="68"/>
      <c r="J42" s="99"/>
      <c r="K42" s="21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20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10" t="str">
        <f>IF(D42="","",IF(E41="ND",VLOOKUP(D42,Datenblatt!$A$2:$C$31,3,FALSE)-1,IF(E41="ND12,5",VLOOKUP(D42,Datenblatt!$A$2:$C$31,3,FALSE)-0.5,VLOOKUP(D42,Datenblatt!$A$2:$C$31,3,FALSE))))</f>
        <v/>
      </c>
      <c r="N42" s="211" t="str">
        <f t="shared" si="2"/>
        <v/>
      </c>
      <c r="O42" s="211" t="str">
        <f t="shared" si="3"/>
        <v/>
      </c>
      <c r="P42" s="186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103" t="str">
        <f>IF(D42="","",VLOOKUP(D42,Datenblatt!$A$2:$D$31,4,FALSE))</f>
        <v/>
      </c>
      <c r="R42" s="104" t="str">
        <f>IF(E42="","",VLOOKUP(E42,Datenblatt!$E$2:$G$28,2,FALSE))</f>
        <v/>
      </c>
      <c r="S42" s="106"/>
      <c r="T42" s="111">
        <f t="shared" si="5"/>
        <v>0</v>
      </c>
      <c r="U42" s="114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12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12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54">
        <f t="array" ref="X42">IF(T42=0,0,IF((AND((ROW(T42)=MATCH(TRUE,($T$1:$T$44)&gt;0,0)))),IF(W42&gt;=6,W42-6,0),IF(W42&gt;=2,2,W42)))</f>
        <v>0</v>
      </c>
      <c r="Y42" s="254">
        <f t="array" ref="Y42">IF(T41=0,0,(IF((AND((ROW(T41)=MATCH(TRUE,($T$1:$T$44)&gt;0,0)))),IF(W41&gt;=6,6,W41),IF(W41&gt;=2,W41-2,0))))</f>
        <v>0</v>
      </c>
      <c r="Z42" s="111" t="str">
        <f t="shared" si="6"/>
        <v/>
      </c>
      <c r="AA42" s="214">
        <f>IF(E41="ND",IF(ISERROR(MATCH(D42,Datenblatt!$L$2:$L$18,0)),3,2),IF(E41="ND12,5",IF(ISERROR(MATCH(D42,Datenblatt!$L$2:$L$18,0)),2.5,2),0))</f>
        <v>0</v>
      </c>
      <c r="AB42" s="214">
        <f>IF((IF(E42="ND",14-IF(D42="",0,VLOOKUP(D42,Datenblatt!$L$2:$M$30,2,FALSE)),IF(E42="ND12,5",2,0)))&lt;0,0,(IF(E42="ND",14-IF(D42="",0,VLOOKUP(D42,Datenblatt!$L$2:$M$30,2,FALSE)),IF(E42="ND12,5",2,0))))</f>
        <v>0</v>
      </c>
      <c r="AC42" s="214">
        <f t="shared" si="7"/>
        <v>0</v>
      </c>
      <c r="AD42" s="214">
        <f t="shared" si="8"/>
        <v>0</v>
      </c>
      <c r="AE42" s="214">
        <f t="shared" si="9"/>
        <v>0</v>
      </c>
      <c r="AF42" s="112">
        <f t="shared" si="10"/>
        <v>0</v>
      </c>
      <c r="AG42" s="112">
        <f t="shared" si="11"/>
        <v>0</v>
      </c>
      <c r="AH42" s="112">
        <f>IF(E42="",0,VLOOKUP(E42,Datenblatt!$E$2:$G$28,3,FALSE))</f>
        <v>0</v>
      </c>
    </row>
    <row r="43" spans="1:34" ht="13" customHeight="1">
      <c r="A43" s="89" t="str">
        <f>IF(ISERROR(VLOOKUP(C43,Datenblatt!$B$84:$B$97,1,FALSE)),"","Ft")</f>
        <v/>
      </c>
      <c r="B43" s="84">
        <f t="shared" si="0"/>
        <v>45595</v>
      </c>
      <c r="C43" s="87">
        <f>C42+1</f>
        <v>45595</v>
      </c>
      <c r="D43" s="67"/>
      <c r="E43" s="67"/>
      <c r="F43" s="68"/>
      <c r="G43" s="69"/>
      <c r="H43" s="68"/>
      <c r="I43" s="68"/>
      <c r="J43" s="99"/>
      <c r="K43" s="21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209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210" t="str">
        <f>IF(D43="","",IF(E42="ND",VLOOKUP(D43,Datenblatt!$A$2:$C$31,3,FALSE)-1,IF(E42="ND12,5",VLOOKUP(D43,Datenblatt!$A$2:$C$31,3,FALSE)-0.5,VLOOKUP(D43,Datenblatt!$A$2:$C$31,3,FALSE))))</f>
        <v/>
      </c>
      <c r="N43" s="211" t="str">
        <f t="shared" si="2"/>
        <v/>
      </c>
      <c r="O43" s="211" t="str">
        <f t="shared" si="3"/>
        <v/>
      </c>
      <c r="P43" s="186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103" t="str">
        <f>IF(D43="","",VLOOKUP(D43,Datenblatt!$A$2:$D$31,4,FALSE))</f>
        <v/>
      </c>
      <c r="R43" s="104" t="str">
        <f>IF(E43="","",VLOOKUP(E43,Datenblatt!$E$2:$G$28,2,FALSE))</f>
        <v/>
      </c>
      <c r="S43" s="107"/>
      <c r="T43" s="111">
        <f t="shared" si="5"/>
        <v>0</v>
      </c>
      <c r="U43" s="114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12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12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54">
        <f t="array" ref="X43">IF(T43=0,0,IF((AND((ROW(T43)=MATCH(TRUE,($T$1:$T$44)&gt;0,0)))),IF(W43&gt;=6,W43-6,0),IF(W43&gt;=2,2,W43)))</f>
        <v>0</v>
      </c>
      <c r="Y43" s="254">
        <f t="array" ref="Y43">IF(T42=0,0,(IF((AND((ROW(T42)=MATCH(TRUE,($T$1:$T$44)&gt;0,0)))),IF(W42&gt;=6,6,W42),IF(W42&gt;=2,W42-2,0))))</f>
        <v>0</v>
      </c>
      <c r="Z43" s="111" t="str">
        <f t="shared" si="6"/>
        <v/>
      </c>
      <c r="AA43" s="214">
        <f>IF(E42="ND",IF(ISERROR(MATCH(D43,Datenblatt!$L$2:$L$18,0)),3,2),IF(E42="ND12,5",IF(ISERROR(MATCH(D43,Datenblatt!$L$2:$L$18,0)),2.5,2),0))</f>
        <v>0</v>
      </c>
      <c r="AB43" s="214">
        <f>IF((IF(E43="ND",14-IF(D43="",0,VLOOKUP(D43,Datenblatt!$L$2:$M$30,2,FALSE)),IF(E43="ND12,5",2,0)))&lt;0,0,(IF(E43="ND",14-IF(D43="",0,VLOOKUP(D43,Datenblatt!$L$2:$M$30,2,FALSE)),IF(E43="ND12,5",2,0))))</f>
        <v>0</v>
      </c>
      <c r="AC43" s="214">
        <f t="shared" si="7"/>
        <v>0</v>
      </c>
      <c r="AD43" s="214">
        <f t="shared" si="8"/>
        <v>0</v>
      </c>
      <c r="AE43" s="214">
        <f t="shared" si="9"/>
        <v>0</v>
      </c>
      <c r="AF43" s="112">
        <f t="shared" si="10"/>
        <v>0</v>
      </c>
      <c r="AG43" s="112">
        <f t="shared" si="11"/>
        <v>0</v>
      </c>
      <c r="AH43" s="112">
        <f>IF(E43="",0,VLOOKUP(E43,Datenblatt!$E$2:$G$28,3,FALSE))</f>
        <v>0</v>
      </c>
    </row>
    <row r="44" spans="1:34" ht="13" customHeight="1">
      <c r="A44" s="89" t="str">
        <f>IF(ISERROR(VLOOKUP(C44,Datenblatt!$B$84:$B$97,1,FALSE)),"","Ft")</f>
        <v/>
      </c>
      <c r="B44" s="159">
        <f t="shared" si="0"/>
        <v>45596</v>
      </c>
      <c r="C44" s="160">
        <f>C43+1</f>
        <v>45596</v>
      </c>
      <c r="D44" s="67"/>
      <c r="E44" s="67"/>
      <c r="F44" s="68"/>
      <c r="G44" s="69"/>
      <c r="H44" s="68"/>
      <c r="I44" s="68"/>
      <c r="J44" s="99"/>
      <c r="K44" s="212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209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210" t="str">
        <f>IF(D44="","",IF(E43="ND",VLOOKUP(D44,Datenblatt!$A$2:$C$31,3,FALSE)-1,IF(E43="ND12,5",VLOOKUP(D44,Datenblatt!$A$2:$C$31,3,FALSE)-0.5,VLOOKUP(D44,Datenblatt!$A$2:$C$31,3,FALSE)-M45)))</f>
        <v/>
      </c>
      <c r="N44" s="211" t="str">
        <f t="shared" si="2"/>
        <v/>
      </c>
      <c r="O44" s="211" t="str">
        <f t="shared" si="3"/>
        <v/>
      </c>
      <c r="P44" s="186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103" t="str">
        <f>IF(D44="","",VLOOKUP(D44,Datenblatt!$A$2:$D$31,4,FALSE))</f>
        <v/>
      </c>
      <c r="R44" s="104" t="str">
        <f>IF(E44="","",VLOOKUP(E44,Datenblatt!$E$2:$G$28,2,FALSE))</f>
        <v/>
      </c>
      <c r="S44" s="107"/>
      <c r="T44" s="111">
        <f t="shared" si="5"/>
        <v>0</v>
      </c>
      <c r="U44" s="114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12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12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54">
        <f t="array" ref="X44">IF(T44=0,0,IF((AND((ROW(T44)=MATCH(TRUE,($T$1:$T$44)&gt;0,0)))),IF(W44&gt;=0,W44-0,0),IF(W44&gt;=2,2,W44)))</f>
        <v>0</v>
      </c>
      <c r="Y44" s="254">
        <f t="array" ref="Y44">IF(T43=0,0,(IF((AND((ROW(T43)=MATCH(TRUE,($T$1:$T$44)&gt;0,0)))),IF(W43&gt;=6,6,W43),IF(W43&gt;=2,W43-2,0))))</f>
        <v>0</v>
      </c>
      <c r="Z44" s="111" t="str">
        <f t="shared" si="6"/>
        <v/>
      </c>
      <c r="AA44" s="214">
        <f>IF(E43="ND",IF(ISERROR(MATCH(D44,Datenblatt!$L$2:$L$18,0)),3,2),IF(E43="ND12,5",IF(ISERROR(MATCH(D44,Datenblatt!$L$2:$L$18,0)),2.5,2),0))</f>
        <v>0</v>
      </c>
      <c r="AB44" s="214">
        <f>IF((IF(E44="ND",14-IF(D44="",0,VLOOKUP(D44,Datenblatt!$L$2:$M$30,2,FALSE)),IF(E44="ND12,5",2,0)))&lt;0,0,(IF(E44="ND",14-IF(D44="",0,VLOOKUP(D44,Datenblatt!$L$2:$M$30,2,FALSE)),IF(E44="ND12,5",2,0))))</f>
        <v>0</v>
      </c>
      <c r="AC44" s="214">
        <f t="shared" si="7"/>
        <v>0</v>
      </c>
      <c r="AD44" s="214">
        <f t="shared" si="8"/>
        <v>0</v>
      </c>
      <c r="AE44" s="214">
        <f t="shared" si="9"/>
        <v>0</v>
      </c>
      <c r="AF44" s="112">
        <f t="shared" si="10"/>
        <v>0</v>
      </c>
      <c r="AG44" s="112">
        <f t="shared" si="11"/>
        <v>0</v>
      </c>
      <c r="AH44" s="112">
        <f>IF(E44="",0,VLOOKUP(E44,Datenblatt!$E$2:$G$28,3,FALSE))</f>
        <v>0</v>
      </c>
    </row>
    <row r="45" spans="1:34" ht="13" customHeight="1" thickBot="1">
      <c r="A45" s="227" t="str">
        <f>IF(ISERROR(VLOOKUP(C45,Datenblatt!$B$84:$B$97,1,FALSE)),"","Ft")</f>
        <v/>
      </c>
      <c r="B45" s="153"/>
      <c r="C45" s="150"/>
      <c r="D45" s="150"/>
      <c r="E45" s="150"/>
      <c r="F45" s="150"/>
      <c r="G45" s="150"/>
      <c r="H45" s="150"/>
      <c r="I45" s="150"/>
      <c r="J45" s="154">
        <f>SUM(J14:J44)</f>
        <v>0</v>
      </c>
      <c r="K45" s="213">
        <f>SUM(K14:K44)</f>
        <v>0</v>
      </c>
      <c r="L45" s="172" t="str">
        <f>IF(D44="ND",9,IF(D44="ND12,5",8.5,"0"))</f>
        <v>0</v>
      </c>
      <c r="M45" s="172" t="str">
        <f>IF(D44="ND",9,IF(D44="ND12,5",8.5,"0"))</f>
        <v>0</v>
      </c>
      <c r="N45" s="221">
        <f t="shared" ref="N45:O45" si="12">SUM(N14:N44)</f>
        <v>0</v>
      </c>
      <c r="O45" s="221">
        <f t="shared" si="12"/>
        <v>0</v>
      </c>
      <c r="P45" s="197">
        <f>SUM(P14:P44)</f>
        <v>0</v>
      </c>
      <c r="Q45" s="173"/>
      <c r="R45" s="156"/>
      <c r="S45" s="157"/>
      <c r="T45" s="155"/>
      <c r="U45" s="115"/>
      <c r="V45" s="116"/>
      <c r="W45" s="116"/>
      <c r="X45" s="116"/>
      <c r="Y45" s="116"/>
      <c r="Z45" s="155"/>
      <c r="AA45" s="215"/>
      <c r="AB45" s="215"/>
      <c r="AC45" s="215"/>
      <c r="AD45" s="215"/>
      <c r="AE45" s="215"/>
      <c r="AF45" s="118"/>
      <c r="AG45" s="118"/>
    </row>
    <row r="46" spans="1:34" s="80" customFormat="1" ht="0.75" customHeight="1" thickBot="1">
      <c r="A46" s="470"/>
      <c r="B46" s="70"/>
      <c r="C46" s="71"/>
      <c r="D46" s="72"/>
      <c r="E46" s="102"/>
      <c r="F46" s="73"/>
      <c r="G46" s="74"/>
      <c r="H46" s="75"/>
      <c r="I46" s="74"/>
      <c r="J46" s="76"/>
      <c r="K46" s="94"/>
      <c r="L46" s="75"/>
      <c r="M46" s="77"/>
      <c r="N46" s="77"/>
      <c r="O46" s="78"/>
      <c r="P46" s="79"/>
      <c r="Q46" s="74"/>
      <c r="R46" s="70"/>
      <c r="T46" s="117"/>
      <c r="U46" s="117"/>
      <c r="V46" s="117"/>
      <c r="W46" s="117"/>
      <c r="X46" s="117"/>
      <c r="Y46" s="117"/>
      <c r="Z46" s="187"/>
      <c r="AA46" s="216"/>
      <c r="AB46" s="216"/>
      <c r="AC46" s="216"/>
      <c r="AD46" s="216"/>
      <c r="AE46" s="216"/>
      <c r="AF46" s="243"/>
      <c r="AG46" s="243"/>
      <c r="AH46" s="300"/>
    </row>
    <row r="47" spans="1:34" s="66" customFormat="1">
      <c r="A47" s="227"/>
      <c r="B47" s="168" t="s">
        <v>147</v>
      </c>
      <c r="C47" s="168"/>
      <c r="D47" s="59"/>
      <c r="E47" s="59"/>
      <c r="F47" s="56"/>
      <c r="G47" s="56"/>
      <c r="H47" s="56"/>
      <c r="I47" s="251"/>
      <c r="J47" s="251"/>
      <c r="K47" s="251"/>
      <c r="L47" s="542" t="s">
        <v>289</v>
      </c>
      <c r="M47" s="542"/>
      <c r="N47" s="542"/>
      <c r="O47" s="543"/>
      <c r="P47" s="201" t="s">
        <v>146</v>
      </c>
      <c r="Q47" s="348">
        <f>IF($P$47="ja",SUMPRODUCT((WEEKDAY($B$14:$B$44,2)=1)*2),0)</f>
        <v>0</v>
      </c>
      <c r="R47" s="158"/>
      <c r="S47" s="171"/>
      <c r="T47" s="118"/>
      <c r="U47" s="118"/>
      <c r="V47" s="118"/>
      <c r="W47" s="118"/>
      <c r="X47" s="118"/>
      <c r="Y47" s="118"/>
      <c r="Z47" s="188"/>
      <c r="AA47" s="217"/>
      <c r="AB47" s="217"/>
      <c r="AC47" s="217"/>
      <c r="AD47" s="217"/>
      <c r="AE47" s="217"/>
      <c r="AF47" s="118"/>
      <c r="AG47" s="118"/>
      <c r="AH47" s="301"/>
    </row>
    <row r="48" spans="1:34" s="66" customFormat="1">
      <c r="A48" s="227"/>
      <c r="B48" s="191" t="str">
        <f>"Verrechnung von Sonderzahlungen, Überstunden, Nachtgutstunden und Nachtdiensten erfolgt im Folgemonat"&amp;" "&amp;Start!$B$25</f>
        <v>Verrechnung von Sonderzahlungen, Überstunden, Nachtgutstunden und Nachtdiensten erfolgt im Folgemonat November</v>
      </c>
      <c r="C48" s="168"/>
      <c r="D48" s="59"/>
      <c r="E48" s="59"/>
      <c r="F48" s="56"/>
      <c r="G48" s="56"/>
      <c r="H48" s="82"/>
      <c r="I48" s="82"/>
      <c r="J48" s="83"/>
      <c r="K48" s="83"/>
      <c r="L48" s="538" t="s">
        <v>290</v>
      </c>
      <c r="M48" s="538"/>
      <c r="N48" s="538"/>
      <c r="O48" s="539"/>
      <c r="P48" s="204" t="s">
        <v>292</v>
      </c>
      <c r="Q48" s="347" t="str">
        <f>IF($P$48="Freizeit","       als Gutstunden abgerechnet","       im Folgemonat ausbezahlt")</f>
        <v xml:space="preserve">       als Gutstunden abgerechnet</v>
      </c>
      <c r="R48" s="203"/>
      <c r="S48" s="192"/>
      <c r="T48" s="118"/>
      <c r="U48" s="118"/>
      <c r="V48" s="118"/>
      <c r="W48" s="118"/>
      <c r="X48" s="118"/>
      <c r="Y48" s="118"/>
      <c r="Z48" s="188"/>
      <c r="AA48" s="217"/>
      <c r="AB48" s="217"/>
      <c r="AC48" s="217"/>
      <c r="AD48" s="217"/>
      <c r="AE48" s="217"/>
      <c r="AF48" s="118"/>
      <c r="AG48" s="118"/>
      <c r="AH48" s="301"/>
    </row>
    <row r="49" spans="1:34" s="66" customFormat="1" ht="15" thickBot="1">
      <c r="A49" s="227"/>
      <c r="B49" s="168"/>
      <c r="C49" s="168"/>
      <c r="D49" s="59"/>
      <c r="E49" s="59"/>
      <c r="F49" s="56"/>
      <c r="G49" s="56"/>
      <c r="H49" s="82"/>
      <c r="I49" s="82"/>
      <c r="J49" s="83"/>
      <c r="K49" s="83"/>
      <c r="L49" s="88"/>
      <c r="M49" s="88"/>
      <c r="N49" s="59"/>
      <c r="O49" s="59"/>
      <c r="P49" s="59"/>
      <c r="S49" s="56"/>
      <c r="T49" s="118"/>
      <c r="U49" s="118"/>
      <c r="V49" s="118"/>
      <c r="W49" s="118"/>
      <c r="X49" s="118"/>
      <c r="Y49" s="118"/>
      <c r="Z49" s="188"/>
      <c r="AA49" s="217"/>
      <c r="AB49" s="217"/>
      <c r="AC49" s="217"/>
      <c r="AD49" s="217"/>
      <c r="AE49" s="217"/>
      <c r="AF49" s="118"/>
      <c r="AG49" s="118"/>
      <c r="AH49" s="301"/>
    </row>
    <row r="50" spans="1:34" s="59" customFormat="1" ht="13" customHeight="1">
      <c r="A50" s="471"/>
      <c r="B50" s="452" t="s">
        <v>248</v>
      </c>
      <c r="C50" s="608" t="s">
        <v>249</v>
      </c>
      <c r="D50" s="608"/>
      <c r="E50" s="453" t="s">
        <v>412</v>
      </c>
      <c r="F50" s="272"/>
      <c r="G50" s="317" t="s">
        <v>83</v>
      </c>
      <c r="H50" s="318"/>
      <c r="I50" s="322"/>
      <c r="J50" s="322"/>
      <c r="K50" s="322"/>
      <c r="L50" s="319">
        <f>$Q$6*2</f>
        <v>10730.62</v>
      </c>
      <c r="N50" s="612" t="str">
        <f>"Monatsprofil"&amp;" "&amp;Start!$B$24</f>
        <v>Monatsprofil Oktober</v>
      </c>
      <c r="O50" s="613"/>
      <c r="P50" s="614"/>
      <c r="T50" s="242"/>
      <c r="U50" s="242"/>
      <c r="V50" s="242"/>
      <c r="W50" s="242"/>
      <c r="X50" s="242"/>
      <c r="Y50" s="242"/>
      <c r="Z50" s="188"/>
      <c r="AA50" s="217"/>
      <c r="AB50" s="217"/>
      <c r="AC50" s="217"/>
      <c r="AD50" s="217"/>
      <c r="AE50" s="217"/>
      <c r="AF50" s="242"/>
      <c r="AG50" s="242"/>
      <c r="AH50" s="302"/>
    </row>
    <row r="51" spans="1:34" s="89" customFormat="1" ht="13" customHeight="1">
      <c r="A51" s="227"/>
      <c r="B51" s="355">
        <f>COUNTIF($D$14:$E$44,"U")-COUNTIFS($D$14:$D$44,"U",$E$14:$E$44,"K")-COUNTIFS($D$14:$D$44,"U",$E$14:$E$44,"PK")</f>
        <v>0</v>
      </c>
      <c r="C51" s="454" t="s">
        <v>18</v>
      </c>
      <c r="D51" s="455">
        <f>SUMIFS($P$14:$P$44,$D$14:$D$44,"U")+SUMIFS($P$14:$P$44,$E$14:$E$44,"U")</f>
        <v>0</v>
      </c>
      <c r="E51" s="456"/>
      <c r="F51" s="316"/>
      <c r="G51" s="341" t="s">
        <v>354</v>
      </c>
      <c r="H51" s="342"/>
      <c r="I51" s="343"/>
      <c r="J51" s="343"/>
      <c r="K51" s="343"/>
      <c r="L51" s="344">
        <f>IF(OR(Start!$D$8=Gehalt!$K$37,Start!$D$8=Gehalt!$K$39,Start!$D$8=Gehalt!$K$41),Gehalt!$C$29,0)</f>
        <v>0</v>
      </c>
      <c r="N51" s="615"/>
      <c r="O51" s="616"/>
      <c r="P51" s="617"/>
      <c r="T51" s="278" t="s">
        <v>398</v>
      </c>
      <c r="U51" s="119">
        <f>SUMPRODUCT(($U$14:$U$44)*(ISNUMBER(FIND("Ft",$A$14:$A$44))))+SUMPRODUCT((($U$14:$U$44)*1)*(WEEKDAY($B$14:$B$44,2)=7))-SUMPRODUCT((($U$14:$U$44)*1)*(WEEKDAY($B$14:$B$44,2)=7)*(ISNUMBER(FIND("Ft",$A$14:$A$44))))</f>
        <v>0</v>
      </c>
      <c r="V51" s="119">
        <f>SUMPRODUCT(($V$14:$V$44)*(ISNUMBER(FIND("Ft",$A$14:$A$44))))+SUMPRODUCT((($V$14:$V$44)*1)*(WEEKDAY($B$14:$B$44,2)=7))-SUMPRODUCT((($V$14:$V$44)*1)*(WEEKDAY($B$14:$B$44,2)=7)*(ISNUMBER(FIND("Ft",$A$14:$A$44))))</f>
        <v>0</v>
      </c>
      <c r="W51" s="119">
        <f>SUM($W$14:$W$44)</f>
        <v>0</v>
      </c>
      <c r="X51" s="255"/>
      <c r="Y51" s="256"/>
      <c r="Z51" s="278" t="s">
        <v>398</v>
      </c>
      <c r="AA51" s="214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14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14">
        <f>SUM($AC$14:$AC$44)</f>
        <v>0</v>
      </c>
      <c r="AD51" s="214">
        <f>SUM($AD$14:$AD$44)</f>
        <v>0</v>
      </c>
      <c r="AE51" s="217"/>
      <c r="AF51" s="188"/>
      <c r="AG51" s="278" t="s">
        <v>398</v>
      </c>
      <c r="AH51" s="214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1:34" s="89" customFormat="1" ht="13" customHeight="1">
      <c r="A52" s="227"/>
      <c r="B52" s="355">
        <f>COUNTIF($D$14:$E$44,"ZA")-COUNTIFS($D$14:$D$44,"ZA",$E$14:$E$44,"K")-COUNTIFS($D$14:$D$44,"ZA",$E$14:$E$44,"PK")</f>
        <v>0</v>
      </c>
      <c r="C52" s="454" t="s">
        <v>21</v>
      </c>
      <c r="D52" s="457">
        <f>SUMIFS($P$14:$P$44,$D$14:$D$44,"ZA")+SUMIFS($P$14:$P$44,$E$14:$E$44,"ZA")-$J$45</f>
        <v>0</v>
      </c>
      <c r="E52" s="458">
        <f>IF($P$48="Freizeit",SUM($N$45*1.5,$O$45*2),0)+$J$54*1.5</f>
        <v>0</v>
      </c>
      <c r="F52" s="272"/>
      <c r="G52" s="323" t="str">
        <f>"9545 Nachtdienstpauschale Gesamt ("&amp;""&amp;Gehalt!$L$25&amp;""&amp;"€/h)"</f>
        <v>9545 Nachtdienstpauschale Gesamt (29,44€/h)</v>
      </c>
      <c r="H52" s="151"/>
      <c r="I52" s="151"/>
      <c r="J52" s="151"/>
      <c r="K52" s="264">
        <f>SUM($AF$14:$AG$44)</f>
        <v>0</v>
      </c>
      <c r="L52" s="226">
        <f>$K$52*Gehalt!$L$25</f>
        <v>0</v>
      </c>
      <c r="N52" s="540" t="s">
        <v>237</v>
      </c>
      <c r="O52" s="541"/>
      <c r="P52" s="352">
        <f>VLOOKUP($B$8,Datenblatt!$A$100:$I$112,2,FALSE)</f>
        <v>31</v>
      </c>
      <c r="T52" s="279" t="s">
        <v>104</v>
      </c>
      <c r="U52" s="269">
        <f>SUM($U$14:$U$44)-$U$51</f>
        <v>0</v>
      </c>
      <c r="V52" s="269">
        <f>SUM($V$14:$V$44)-$V$51</f>
        <v>0</v>
      </c>
      <c r="W52" s="257"/>
      <c r="X52" s="265"/>
      <c r="Y52" s="256"/>
      <c r="Z52" s="280" t="s">
        <v>104</v>
      </c>
      <c r="AA52" s="214">
        <f>SUM($AA$14:$AA$44)-$AA$51</f>
        <v>0</v>
      </c>
      <c r="AB52" s="214">
        <f>SUM($AB$14:$AB$44)-$AB$51</f>
        <v>0</v>
      </c>
      <c r="AC52" s="260"/>
      <c r="AD52" s="261"/>
      <c r="AE52" s="217"/>
      <c r="AF52" s="188"/>
      <c r="AG52" s="280" t="s">
        <v>104</v>
      </c>
      <c r="AH52" s="214">
        <f>SUM($AH$14:$AH$44)-$AH$51</f>
        <v>0</v>
      </c>
    </row>
    <row r="53" spans="1:34" s="89" customFormat="1" ht="13" customHeight="1">
      <c r="A53" s="227"/>
      <c r="B53" s="355">
        <f>COUNTIF($D$14:$E$44,"RG")-COUNTIFS($D$14:$D$44,"U",$E$14:$E$44,"RG")-COUNTIFS($D$14:$D$44,"RG",$E$14:$E$44,"PK")</f>
        <v>0</v>
      </c>
      <c r="C53" s="359" t="s">
        <v>132</v>
      </c>
      <c r="D53" s="455">
        <f>SUMIFS($P$14:$P$44,$D$14:$D$44,"RG")+SUMIFS($P$14:$P$44,$E$14:$E$44,"RG")</f>
        <v>0</v>
      </c>
      <c r="E53" s="459">
        <f>$Q$47</f>
        <v>0</v>
      </c>
      <c r="G53" s="323" t="str">
        <f>"9547 Sonn- und Feiertagszulage ("&amp;""&amp;Gehalt!$L$26&amp;""&amp;"€/h)"</f>
        <v>9547 Sonn- und Feiertagszulage (18,5€/h)</v>
      </c>
      <c r="H53" s="151"/>
      <c r="I53" s="151"/>
      <c r="J53" s="151"/>
      <c r="K53" s="22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26">
        <f>$K$53*Gehalt!$L$26</f>
        <v>0</v>
      </c>
      <c r="N53" s="540" t="s">
        <v>238</v>
      </c>
      <c r="O53" s="541"/>
      <c r="P53" s="352">
        <f>VLOOKUP($B$8,Datenblatt!$A$100:$I$112,3,FALSE)</f>
        <v>1</v>
      </c>
      <c r="T53" s="277" t="s">
        <v>399</v>
      </c>
      <c r="U53" s="112">
        <f>SUMPRODUCT(($U$14:$U$44)*(ISNUMBER(FIND("Ft",$A$14:$A$44))))+SUMPRODUCT((($U$14:$U$44)*1)*(WEEKDAY($B$14:$B$44,2)=7))-SUMPRODUCT((($U$14:$U$44)*1)*(WEEKDAY($B$14:$B$44,2)=7)*(ISNUMBER(FIND("Ft",$A$14:$A$44))))</f>
        <v>0</v>
      </c>
      <c r="V53" s="112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270"/>
      <c r="X53" s="112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12">
        <f>SUMPRODUCT(($Y$14:$Y$44)*(ISNUMBER(FIND("Ft",$A$14:$A$44))))+SUMPRODUCT((($Y$14:$Y$44)*1)*(WEEKDAY($B$14:$B$44,2)=7))-SUMPRODUCT((($Y$14:$Y$44)*1)*(WEEKDAY($B$14:$B$44,2)=7)*(ISNUMBER(FIND("Ft",$A$14:$A$44))))</f>
        <v>0</v>
      </c>
      <c r="Z53" s="258"/>
      <c r="AA53" s="258"/>
      <c r="AB53" s="258"/>
      <c r="AC53" s="259"/>
      <c r="AD53" s="259"/>
      <c r="AE53" s="188"/>
      <c r="AF53" s="188"/>
      <c r="AG53" s="188"/>
      <c r="AH53" s="302"/>
    </row>
    <row r="54" spans="1:34" s="89" customFormat="1" ht="13" customHeight="1">
      <c r="A54" s="227"/>
      <c r="B54" s="355">
        <f>COUNTIF($D$14:$E$44,"NDG")-COUNTIFS($D$14:$D$44,"NDG",$E$14:$E$44,"K")-COUNTIFS($D$14:$D$44,"NDG",$E$14:$E$44,"PK")</f>
        <v>0</v>
      </c>
      <c r="C54" s="359" t="s">
        <v>131</v>
      </c>
      <c r="D54" s="455">
        <f>SUMIFS($P$14:$P$44,$D$14:$D$44,"NDG")+SUMIFS($P$14:$P$44,$E$14:$E$44,"NDG")</f>
        <v>0</v>
      </c>
      <c r="E54" s="459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609" t="s">
        <v>295</v>
      </c>
      <c r="H54" s="610"/>
      <c r="I54" s="611"/>
      <c r="J54" s="390">
        <v>0</v>
      </c>
      <c r="K54" s="225">
        <f>IF($P$48="finanziell",SUM($L$62),0)+$L$66+$L$70-$J$54</f>
        <v>0</v>
      </c>
      <c r="L54" s="226">
        <f>$K$54*$L$60</f>
        <v>0</v>
      </c>
      <c r="M54" s="56"/>
      <c r="N54" s="540" t="s">
        <v>239</v>
      </c>
      <c r="O54" s="541"/>
      <c r="P54" s="352">
        <f>VLOOKUP($B$8,Datenblatt!$A$100:$I$112,4,FALSE)</f>
        <v>8</v>
      </c>
      <c r="Q54" s="56"/>
      <c r="T54" s="242"/>
      <c r="U54" s="242"/>
      <c r="V54" s="242"/>
      <c r="W54" s="188"/>
      <c r="X54" s="188"/>
      <c r="Y54" s="188"/>
      <c r="Z54" s="242"/>
      <c r="AA54" s="242"/>
      <c r="AB54" s="242"/>
      <c r="AC54" s="188"/>
      <c r="AD54" s="188"/>
      <c r="AE54" s="188"/>
      <c r="AF54" s="188"/>
      <c r="AG54" s="188"/>
      <c r="AH54" s="302"/>
    </row>
    <row r="55" spans="1:34" s="89" customFormat="1" ht="13" customHeight="1">
      <c r="A55" s="227"/>
      <c r="B55" s="460"/>
      <c r="C55" s="359" t="s">
        <v>170</v>
      </c>
      <c r="D55" s="455">
        <f>SUMIFS($M$14:$M$44,$D$14:$D$44,"U")</f>
        <v>0</v>
      </c>
      <c r="E55" s="456"/>
      <c r="G55" s="323" t="s">
        <v>227</v>
      </c>
      <c r="H55" s="151"/>
      <c r="I55" s="151"/>
      <c r="J55" s="151"/>
      <c r="K55" s="225">
        <f>IF($P$48="finanziell",SUM($L$63),0)+$L$71+$L$67</f>
        <v>0</v>
      </c>
      <c r="L55" s="226">
        <f>$K$55*$L$61</f>
        <v>0</v>
      </c>
      <c r="M55" s="59"/>
      <c r="N55" s="540" t="s">
        <v>240</v>
      </c>
      <c r="O55" s="541"/>
      <c r="P55" s="352">
        <f>VLOOKUP($B$8,Datenblatt!$A$100:$I$112,5,FALSE)</f>
        <v>23</v>
      </c>
      <c r="T55" s="242"/>
      <c r="U55" s="242"/>
      <c r="V55" s="242"/>
      <c r="W55" s="188"/>
      <c r="X55" s="188"/>
      <c r="Y55" s="188"/>
      <c r="Z55" s="242"/>
      <c r="AA55" s="242"/>
      <c r="AB55" s="242"/>
      <c r="AC55" s="188"/>
      <c r="AD55" s="188"/>
      <c r="AE55" s="188"/>
      <c r="AF55" s="188"/>
      <c r="AG55" s="188"/>
      <c r="AH55" s="302"/>
    </row>
    <row r="56" spans="1:34" s="89" customFormat="1" ht="13" customHeight="1">
      <c r="A56" s="227"/>
      <c r="B56" s="355">
        <f>COUNTIF($D$14:$E$44,"SU")-COUNTIFS($D$14:$D$44,"SU",$E$14:$E$44,"K")-COUNTIFS($D$14:$D$44,"SU",$E$14:$E$44,"PK")</f>
        <v>0</v>
      </c>
      <c r="C56" s="359" t="s">
        <v>172</v>
      </c>
      <c r="D56" s="455">
        <f>SUMIFS($M$14:$M$44,$D$14:$D$44,"SU")</f>
        <v>0</v>
      </c>
      <c r="E56" s="456"/>
      <c r="G56" s="323" t="s">
        <v>285</v>
      </c>
      <c r="H56" s="151"/>
      <c r="I56" s="151"/>
      <c r="J56" s="151"/>
      <c r="K56" s="394">
        <f ca="1">IF(September!$P$63-SUM(Start!$E$19:$E$24)*2&lt;=0,0,September!$P$63-SUM(Start!$E$19:$E$24)*2)</f>
        <v>0</v>
      </c>
      <c r="L56" s="226">
        <f ca="1">$K$56*(ROUNDDOWN((($Q$6-35)/173*1),2))</f>
        <v>0</v>
      </c>
      <c r="N56" s="540" t="s">
        <v>241</v>
      </c>
      <c r="O56" s="541"/>
      <c r="P56" s="352">
        <f>VLOOKUP($B$8,Datenblatt!$A$100:$I$112,7,FALSE)</f>
        <v>23</v>
      </c>
      <c r="T56" s="242"/>
      <c r="U56" s="242"/>
      <c r="V56" s="242"/>
      <c r="W56" s="188"/>
      <c r="X56" s="188"/>
      <c r="Y56" s="188"/>
      <c r="Z56" s="242"/>
      <c r="AA56" s="242"/>
      <c r="AB56" s="242"/>
      <c r="AC56" s="188"/>
      <c r="AD56" s="188"/>
      <c r="AE56" s="188"/>
      <c r="AF56" s="188"/>
      <c r="AG56" s="188"/>
      <c r="AH56" s="302"/>
    </row>
    <row r="57" spans="1:34" s="89" customFormat="1" ht="13" customHeight="1">
      <c r="A57" s="227"/>
      <c r="B57" s="355">
        <f>COUNTIF($D$14:$E$44,"PK")</f>
        <v>0</v>
      </c>
      <c r="C57" s="359" t="s">
        <v>171</v>
      </c>
      <c r="D57" s="455">
        <f>SUMIFS($M$14:$M$44,$D$14:$D$44,"PK")</f>
        <v>0</v>
      </c>
      <c r="E57" s="456"/>
      <c r="G57" s="391" t="s">
        <v>297</v>
      </c>
      <c r="H57" s="392"/>
      <c r="I57" s="392"/>
      <c r="J57" s="151"/>
      <c r="K57" s="225">
        <f>IF(OR(Start!$D$8=Gehalt!$K$37,Start!$D$8=Gehalt!$K$39,Start!$D$8=Gehalt!$K$41),SUMIFS($M$14:$M$44,$Q$14:$Q$44,"=Tagdienst*",$E$14:$E$44,"&lt;&gt;*")+SUMIFS($AH$14:$AH$44,$R$14:$R$44,"=Tagdienst*"),0)</f>
        <v>0</v>
      </c>
      <c r="L57" s="226">
        <f>$K$57*Gehalt!$C$28</f>
        <v>0</v>
      </c>
      <c r="N57" s="540" t="s">
        <v>236</v>
      </c>
      <c r="O57" s="541"/>
      <c r="P57" s="352">
        <f>VLOOKUP($B$8,Datenblatt!$A$100:$I$112,6,FALSE)</f>
        <v>184</v>
      </c>
      <c r="T57" s="242"/>
      <c r="U57" s="242"/>
      <c r="V57" s="242"/>
      <c r="W57" s="188"/>
      <c r="X57" s="188"/>
      <c r="Y57" s="188"/>
      <c r="Z57" s="242"/>
      <c r="AA57" s="242"/>
      <c r="AB57" s="242"/>
      <c r="AC57" s="188"/>
      <c r="AD57" s="188"/>
      <c r="AE57" s="188"/>
      <c r="AF57" s="188"/>
      <c r="AG57" s="188"/>
      <c r="AH57" s="302"/>
    </row>
    <row r="58" spans="1:34" s="89" customFormat="1" ht="13" customHeight="1">
      <c r="A58" s="227"/>
      <c r="B58" s="355">
        <f>COUNTIF($D$14:$E$44,"K")+COUNTIF($D$14:$E$44,"KA")</f>
        <v>0</v>
      </c>
      <c r="C58" s="359" t="s">
        <v>418</v>
      </c>
      <c r="D58" s="455">
        <f>SUMIFS($M$14:$M$44,$D$14:$D$44,"K")+SUMIFS($M$14:$M$44,$D$14:$D$44,"KA")</f>
        <v>0</v>
      </c>
      <c r="E58" s="456"/>
      <c r="G58" s="323" t="s">
        <v>296</v>
      </c>
      <c r="H58" s="151"/>
      <c r="I58" s="151"/>
      <c r="J58" s="393" t="s">
        <v>146</v>
      </c>
      <c r="K58" s="225"/>
      <c r="L58" s="226">
        <f>IF($J$58="ja",Gehalt!$C$27,0)</f>
        <v>0</v>
      </c>
      <c r="N58" s="618" t="str">
        <f>"Stundenkonto Monatsende"&amp;" "&amp;Start!$B$24</f>
        <v>Stundenkonto Monatsende Oktober</v>
      </c>
      <c r="O58" s="619"/>
      <c r="P58" s="620"/>
      <c r="T58" s="242"/>
      <c r="U58" s="242"/>
      <c r="V58" s="242"/>
      <c r="W58" s="188"/>
      <c r="X58" s="188"/>
      <c r="Y58" s="188"/>
      <c r="Z58" s="242"/>
      <c r="AA58" s="242"/>
      <c r="AB58" s="242"/>
      <c r="AC58" s="188"/>
      <c r="AD58" s="188"/>
      <c r="AE58" s="188"/>
      <c r="AF58" s="188"/>
      <c r="AG58" s="188"/>
      <c r="AH58" s="302"/>
    </row>
    <row r="59" spans="1:34" s="89" customFormat="1" ht="13" customHeight="1" thickBot="1">
      <c r="A59" s="227"/>
      <c r="B59" s="460"/>
      <c r="C59" s="359" t="s">
        <v>19</v>
      </c>
      <c r="D59" s="455">
        <f>COUNTIF($L$14:$L$44,"n.b.")</f>
        <v>0</v>
      </c>
      <c r="E59" s="456"/>
      <c r="G59" s="229" t="s">
        <v>362</v>
      </c>
      <c r="H59" s="230"/>
      <c r="I59" s="230"/>
      <c r="J59" s="230"/>
      <c r="K59" s="338"/>
      <c r="L59" s="228">
        <f ca="1">SUM(L52:L57)*12%</f>
        <v>0</v>
      </c>
      <c r="N59" s="615"/>
      <c r="O59" s="616"/>
      <c r="P59" s="617"/>
      <c r="T59" s="242"/>
      <c r="U59" s="188"/>
      <c r="V59" s="188"/>
      <c r="W59" s="188"/>
      <c r="X59" s="188"/>
      <c r="Y59" s="188"/>
      <c r="Z59" s="242"/>
      <c r="AA59" s="188"/>
      <c r="AB59" s="188"/>
      <c r="AC59" s="188"/>
      <c r="AD59" s="188"/>
      <c r="AE59" s="188"/>
      <c r="AF59" s="188"/>
      <c r="AG59" s="188"/>
      <c r="AH59" s="302"/>
    </row>
    <row r="60" spans="1:34" s="89" customFormat="1" ht="13" customHeight="1">
      <c r="A60" s="227"/>
      <c r="B60" s="355">
        <f>COUNTIF($D$14:$E$44,"DV")</f>
        <v>0</v>
      </c>
      <c r="C60" s="359" t="s">
        <v>111</v>
      </c>
      <c r="D60" s="455">
        <f>SUMIFS($P$14:$P$44,$D$14:$D$44,"DV")+SUMIFS($P$14:$P$44,$E$14:$E$44,"DV")</f>
        <v>0</v>
      </c>
      <c r="E60" s="456"/>
      <c r="G60" s="238" t="s">
        <v>298</v>
      </c>
      <c r="H60" s="239"/>
      <c r="I60" s="240"/>
      <c r="J60" s="240"/>
      <c r="K60" s="240"/>
      <c r="L60" s="241">
        <f>IF($Q$6="",0,ROUNDDOWN((($Q$6-35)/173*1.5),2))</f>
        <v>46.21</v>
      </c>
      <c r="N60" s="540" t="s">
        <v>234</v>
      </c>
      <c r="O60" s="541"/>
      <c r="P60" s="352">
        <f>Start!$C$30+SUM(Jänner:Oktober!$D$51)</f>
        <v>0</v>
      </c>
      <c r="T60" s="244"/>
      <c r="U60" s="188"/>
      <c r="V60" s="188"/>
      <c r="W60" s="188"/>
      <c r="X60" s="188"/>
      <c r="Y60" s="188"/>
      <c r="Z60" s="244"/>
      <c r="AA60" s="188"/>
      <c r="AB60" s="188"/>
      <c r="AC60" s="188"/>
      <c r="AD60" s="188"/>
      <c r="AE60" s="188"/>
      <c r="AF60" s="188"/>
      <c r="AG60" s="188"/>
      <c r="AH60" s="302"/>
    </row>
    <row r="61" spans="1:34" s="89" customFormat="1" ht="13" customHeight="1">
      <c r="A61" s="227"/>
      <c r="B61" s="355">
        <f>COUNTIF($D$14:$E$44,"WR")</f>
        <v>0</v>
      </c>
      <c r="C61" s="359" t="s">
        <v>126</v>
      </c>
      <c r="D61" s="466"/>
      <c r="E61" s="456"/>
      <c r="G61" s="360" t="s">
        <v>400</v>
      </c>
      <c r="H61" s="358"/>
      <c r="I61" s="357"/>
      <c r="J61" s="357"/>
      <c r="K61" s="357"/>
      <c r="L61" s="356">
        <f>IF($Q$6="",0,ROUNDDOWN((($Q$6-35)/173*2),2))</f>
        <v>61.62</v>
      </c>
      <c r="N61" s="540" t="s">
        <v>235</v>
      </c>
      <c r="O61" s="541"/>
      <c r="P61" s="353">
        <f>Start!$C$31+SUM(Jänner:Oktober!$D$52)+SUM(Jänner:Oktober!$E$52)</f>
        <v>0</v>
      </c>
      <c r="T61" s="244"/>
      <c r="U61" s="188"/>
      <c r="V61" s="188"/>
      <c r="W61" s="188"/>
      <c r="X61" s="188"/>
      <c r="Y61" s="188"/>
      <c r="Z61" s="244"/>
      <c r="AA61" s="188"/>
      <c r="AB61" s="188"/>
      <c r="AC61" s="188"/>
      <c r="AD61" s="188"/>
      <c r="AE61" s="188"/>
      <c r="AF61" s="188"/>
      <c r="AG61" s="188"/>
      <c r="AH61" s="302"/>
    </row>
    <row r="62" spans="1:34" s="59" customFormat="1" ht="13" customHeight="1">
      <c r="A62" s="471"/>
      <c r="B62" s="478"/>
      <c r="C62" s="478"/>
      <c r="D62" s="478"/>
      <c r="E62" s="478"/>
      <c r="G62" s="374" t="s">
        <v>392</v>
      </c>
      <c r="H62" s="375"/>
      <c r="I62" s="125"/>
      <c r="J62" s="125"/>
      <c r="K62" s="125"/>
      <c r="L62" s="376">
        <f>SUM($N$14:$N$44)</f>
        <v>0</v>
      </c>
      <c r="M62" s="89"/>
      <c r="N62" s="540" t="s">
        <v>148</v>
      </c>
      <c r="O62" s="541"/>
      <c r="P62" s="352">
        <f>Start!$C$32+SUM(Jänner:Oktober!$D$53)+SUM(Jänner:Oktober!$E$53)</f>
        <v>0</v>
      </c>
      <c r="Q62" s="89"/>
      <c r="T62" s="244"/>
      <c r="U62" s="242"/>
      <c r="V62" s="242"/>
      <c r="W62" s="242"/>
      <c r="X62" s="242"/>
      <c r="Y62" s="242"/>
      <c r="Z62" s="244"/>
      <c r="AA62" s="242"/>
      <c r="AB62" s="242"/>
      <c r="AC62" s="242"/>
      <c r="AD62" s="242"/>
      <c r="AE62" s="242"/>
      <c r="AF62" s="242"/>
      <c r="AG62" s="242"/>
      <c r="AH62" s="302"/>
    </row>
    <row r="63" spans="1:34" s="59" customFormat="1" ht="13" customHeight="1">
      <c r="A63" s="471"/>
      <c r="G63" s="374" t="s">
        <v>102</v>
      </c>
      <c r="H63" s="375"/>
      <c r="I63" s="125"/>
      <c r="J63" s="125"/>
      <c r="K63" s="125"/>
      <c r="L63" s="376">
        <f>SUM($O$14:$O$44)</f>
        <v>0</v>
      </c>
      <c r="M63" s="89"/>
      <c r="N63" s="544" t="s">
        <v>166</v>
      </c>
      <c r="O63" s="545"/>
      <c r="P63" s="354">
        <f ca="1">Start!$C$33+SUM(Jänner:Oktober!$D$54)+SUM(Jänner:Oktober!$E$54)-SUM(Jänner:Oktober!$K$56)</f>
        <v>0</v>
      </c>
      <c r="Q63" s="89"/>
      <c r="T63" s="244"/>
      <c r="U63" s="242"/>
      <c r="V63" s="242"/>
      <c r="W63" s="242"/>
      <c r="X63" s="242"/>
      <c r="Y63" s="242"/>
      <c r="Z63" s="244"/>
      <c r="AA63" s="242"/>
      <c r="AB63" s="242"/>
      <c r="AC63" s="242"/>
      <c r="AD63" s="242"/>
      <c r="AE63" s="242"/>
      <c r="AF63" s="242"/>
      <c r="AG63" s="242"/>
      <c r="AH63" s="302"/>
    </row>
    <row r="64" spans="1:34" s="59" customFormat="1" ht="13" customHeight="1">
      <c r="A64" s="471"/>
      <c r="E64" s="140"/>
      <c r="G64" s="374" t="s">
        <v>98</v>
      </c>
      <c r="H64" s="375"/>
      <c r="I64" s="125"/>
      <c r="J64" s="125"/>
      <c r="K64" s="125"/>
      <c r="L64" s="377">
        <f>$L$62*$L$60</f>
        <v>0</v>
      </c>
      <c r="M64" s="89"/>
      <c r="N64" s="546" t="str">
        <f>"Bisheriger Verbrauch"&amp;" "&amp;Start!$D$2</f>
        <v>Bisheriger Verbrauch 2024</v>
      </c>
      <c r="O64" s="547"/>
      <c r="P64" s="548"/>
      <c r="Q64" s="89"/>
      <c r="T64" s="244"/>
      <c r="U64" s="242"/>
      <c r="V64" s="242"/>
      <c r="W64" s="242"/>
      <c r="X64" s="242"/>
      <c r="Y64" s="242"/>
      <c r="Z64" s="244"/>
      <c r="AA64" s="242"/>
      <c r="AB64" s="242"/>
      <c r="AC64" s="242"/>
      <c r="AD64" s="242"/>
      <c r="AE64" s="242"/>
      <c r="AF64" s="242"/>
      <c r="AG64" s="242"/>
      <c r="AH64" s="302"/>
    </row>
    <row r="65" spans="1:34" s="59" customFormat="1" ht="13" customHeight="1">
      <c r="A65" s="471"/>
      <c r="E65" s="140"/>
      <c r="G65" s="267" t="s">
        <v>99</v>
      </c>
      <c r="H65" s="268"/>
      <c r="I65" s="378"/>
      <c r="J65" s="378"/>
      <c r="K65" s="378"/>
      <c r="L65" s="379">
        <f>$L$63*$L$61</f>
        <v>0</v>
      </c>
      <c r="M65" s="89"/>
      <c r="N65" s="549"/>
      <c r="O65" s="550"/>
      <c r="P65" s="551"/>
      <c r="Q65" s="89"/>
      <c r="T65" s="244"/>
      <c r="U65" s="242"/>
      <c r="V65" s="242"/>
      <c r="W65" s="242"/>
      <c r="X65" s="242"/>
      <c r="Y65" s="242"/>
      <c r="Z65" s="244"/>
      <c r="AA65" s="242"/>
      <c r="AB65" s="242"/>
      <c r="AC65" s="242"/>
      <c r="AD65" s="242"/>
      <c r="AE65" s="242"/>
      <c r="AF65" s="242"/>
      <c r="AG65" s="242"/>
      <c r="AH65" s="302"/>
    </row>
    <row r="66" spans="1:34" s="59" customFormat="1" ht="13" customHeight="1">
      <c r="A66" s="471"/>
      <c r="E66" s="140"/>
      <c r="G66" s="380" t="s">
        <v>228</v>
      </c>
      <c r="H66" s="381"/>
      <c r="I66" s="382"/>
      <c r="J66" s="382"/>
      <c r="K66" s="382"/>
      <c r="L66" s="376">
        <f>SUM($U$52:$V$52)+$AH$52</f>
        <v>0</v>
      </c>
      <c r="N66" s="533" t="s">
        <v>234</v>
      </c>
      <c r="O66" s="534"/>
      <c r="P66" s="398">
        <f>SUM(Jänner:Oktober!$D$51)</f>
        <v>0</v>
      </c>
      <c r="T66" s="244"/>
      <c r="U66" s="242"/>
      <c r="V66" s="242"/>
      <c r="W66" s="242"/>
      <c r="X66" s="242"/>
      <c r="Y66" s="242"/>
      <c r="Z66" s="244"/>
      <c r="AA66" s="242"/>
      <c r="AB66" s="242"/>
      <c r="AC66" s="242"/>
      <c r="AD66" s="242"/>
      <c r="AE66" s="242"/>
      <c r="AF66" s="242"/>
      <c r="AG66" s="242"/>
      <c r="AH66" s="302"/>
    </row>
    <row r="67" spans="1:34" s="59" customFormat="1" ht="13" customHeight="1">
      <c r="A67" s="471"/>
      <c r="D67" s="140"/>
      <c r="E67" s="140"/>
      <c r="G67" s="380" t="s">
        <v>103</v>
      </c>
      <c r="H67" s="381"/>
      <c r="I67" s="382"/>
      <c r="J67" s="382"/>
      <c r="K67" s="382"/>
      <c r="L67" s="376">
        <f>SUM($U$51:$W$51)+$AH$51</f>
        <v>0</v>
      </c>
      <c r="N67" s="533" t="s">
        <v>235</v>
      </c>
      <c r="O67" s="534"/>
      <c r="P67" s="398">
        <f>SUM(Jänner:Oktober!$D$52)</f>
        <v>0</v>
      </c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42"/>
      <c r="AG67" s="242"/>
      <c r="AH67" s="302"/>
    </row>
    <row r="68" spans="1:34" s="59" customFormat="1" ht="13" customHeight="1">
      <c r="A68" s="471"/>
      <c r="D68" s="140"/>
      <c r="E68" s="140"/>
      <c r="G68" s="121" t="s">
        <v>100</v>
      </c>
      <c r="H68" s="122"/>
      <c r="I68" s="125"/>
      <c r="J68" s="125"/>
      <c r="K68" s="125"/>
      <c r="L68" s="377">
        <f>$L$66*$L$60</f>
        <v>0</v>
      </c>
      <c r="N68" s="533" t="s">
        <v>148</v>
      </c>
      <c r="O68" s="534"/>
      <c r="P68" s="398">
        <f>SUM(Jänner:Oktober!$D$53)</f>
        <v>0</v>
      </c>
      <c r="T68" s="242"/>
      <c r="U68" s="242"/>
      <c r="V68" s="242"/>
      <c r="W68" s="242"/>
      <c r="X68" s="242"/>
      <c r="Y68" s="242"/>
      <c r="Z68" s="242"/>
      <c r="AA68" s="242"/>
      <c r="AB68" s="242"/>
      <c r="AC68" s="242"/>
      <c r="AD68" s="242"/>
      <c r="AE68" s="242"/>
      <c r="AF68" s="242"/>
      <c r="AG68" s="242"/>
      <c r="AH68" s="302"/>
    </row>
    <row r="69" spans="1:34" s="59" customFormat="1" ht="13" customHeight="1">
      <c r="A69" s="471"/>
      <c r="D69" s="140"/>
      <c r="E69" s="140"/>
      <c r="G69" s="383" t="s">
        <v>101</v>
      </c>
      <c r="H69" s="384"/>
      <c r="I69" s="378"/>
      <c r="J69" s="378"/>
      <c r="K69" s="378"/>
      <c r="L69" s="379">
        <f>$L$67*$L$61</f>
        <v>0</v>
      </c>
      <c r="N69" s="621" t="s">
        <v>166</v>
      </c>
      <c r="O69" s="622"/>
      <c r="P69" s="399">
        <f>SUM(Jänner:Oktober!$D$54)</f>
        <v>0</v>
      </c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302"/>
    </row>
    <row r="70" spans="1:34" s="59" customFormat="1" ht="13" customHeight="1">
      <c r="A70" s="471"/>
      <c r="D70" s="140"/>
      <c r="E70" s="140"/>
      <c r="G70" s="374" t="s">
        <v>393</v>
      </c>
      <c r="H70" s="375"/>
      <c r="I70" s="125"/>
      <c r="J70" s="125"/>
      <c r="K70" s="125"/>
      <c r="L70" s="376">
        <f>SUM($AA$52:$AB$52)</f>
        <v>0</v>
      </c>
      <c r="N70" s="604" t="s">
        <v>389</v>
      </c>
      <c r="O70" s="605"/>
      <c r="P70" s="451">
        <f>SUM(Jänner:Oktober!$B$56)</f>
        <v>0</v>
      </c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302"/>
    </row>
    <row r="71" spans="1:34" s="59" customFormat="1" ht="13" customHeight="1">
      <c r="A71" s="471"/>
      <c r="D71" s="140"/>
      <c r="E71" s="140"/>
      <c r="G71" s="374" t="s">
        <v>356</v>
      </c>
      <c r="H71" s="375"/>
      <c r="I71" s="125"/>
      <c r="J71" s="125"/>
      <c r="K71" s="125"/>
      <c r="L71" s="376">
        <f>SUM($AA$51:$AD$51)</f>
        <v>0</v>
      </c>
      <c r="N71" s="533" t="s">
        <v>390</v>
      </c>
      <c r="O71" s="534"/>
      <c r="P71" s="398">
        <f>SUM(Jänner:Oktober!$B$57)</f>
        <v>0</v>
      </c>
      <c r="T71" s="242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302"/>
    </row>
    <row r="72" spans="1:34" s="59" customFormat="1" ht="13" customHeight="1">
      <c r="A72" s="471"/>
      <c r="D72" s="140"/>
      <c r="E72" s="140"/>
      <c r="G72" s="374" t="s">
        <v>98</v>
      </c>
      <c r="H72" s="375"/>
      <c r="I72" s="125"/>
      <c r="J72" s="125"/>
      <c r="K72" s="125"/>
      <c r="L72" s="377">
        <f>$L$70*$L$60</f>
        <v>0</v>
      </c>
      <c r="N72" s="606" t="s">
        <v>388</v>
      </c>
      <c r="O72" s="607"/>
      <c r="P72" s="450">
        <f>SUM(Jänner:Oktober!$B$58)</f>
        <v>0</v>
      </c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302"/>
    </row>
    <row r="73" spans="1:34" s="59" customFormat="1" ht="13" customHeight="1">
      <c r="A73" s="471"/>
      <c r="D73" s="140"/>
      <c r="E73" s="315"/>
      <c r="G73" s="267" t="s">
        <v>99</v>
      </c>
      <c r="H73" s="268"/>
      <c r="I73" s="378"/>
      <c r="J73" s="378"/>
      <c r="K73" s="378"/>
      <c r="L73" s="379">
        <f>$L$71*$L$61</f>
        <v>0</v>
      </c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302"/>
    </row>
    <row r="74" spans="1:34" s="59" customFormat="1" ht="13" customHeight="1">
      <c r="A74" s="471"/>
      <c r="D74" s="140"/>
      <c r="G74" s="385" t="s">
        <v>288</v>
      </c>
      <c r="H74" s="386"/>
      <c r="I74" s="161"/>
      <c r="J74" s="161"/>
      <c r="K74" s="161"/>
      <c r="L74" s="387">
        <f>VLOOKUP($B$8,Datenblatt!$A$100:$F$112,6,FALSE)-SUM($D$55:$D$58)</f>
        <v>184</v>
      </c>
      <c r="T74" s="242"/>
      <c r="U74" s="242"/>
      <c r="V74" s="242"/>
      <c r="W74" s="242"/>
      <c r="X74" s="242"/>
      <c r="Y74" s="242"/>
      <c r="Z74" s="242"/>
      <c r="AA74" s="242"/>
      <c r="AB74" s="242"/>
      <c r="AC74" s="242"/>
      <c r="AD74" s="242"/>
      <c r="AE74" s="242"/>
      <c r="AF74" s="242"/>
      <c r="AG74" s="242"/>
      <c r="AH74" s="302"/>
    </row>
    <row r="75" spans="1:34" s="59" customFormat="1" ht="13" customHeight="1">
      <c r="A75" s="471"/>
      <c r="D75" s="140"/>
      <c r="T75" s="242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242"/>
      <c r="AF75" s="242"/>
      <c r="AG75" s="242"/>
      <c r="AH75" s="302"/>
    </row>
    <row r="76" spans="1:34" s="59" customFormat="1" ht="13" customHeight="1">
      <c r="A76" s="471"/>
      <c r="C76" s="402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302"/>
    </row>
    <row r="77" spans="1:34" s="59" customFormat="1" ht="13" customHeight="1">
      <c r="A77" s="471"/>
      <c r="C77" s="164" t="s">
        <v>243</v>
      </c>
      <c r="D77" s="165"/>
      <c r="E77" s="166"/>
      <c r="F77" s="166"/>
      <c r="G77" s="166"/>
      <c r="H77" s="167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302"/>
    </row>
    <row r="78" spans="1:34" s="59" customFormat="1" ht="13" customHeight="1">
      <c r="A78" s="471"/>
      <c r="C78" s="121" t="s">
        <v>92</v>
      </c>
      <c r="D78" s="122"/>
      <c r="E78" s="123"/>
      <c r="F78" s="123"/>
      <c r="G78" s="123"/>
      <c r="H78" s="124">
        <f>SUMPRODUCT((WEEKDAY($B$13:$B$43,2)=6)*($D$13:$D$43="ND"))-SUMPRODUCT((WEEKDAY($B$13:$B$43,2)=6)*($D$13:$D$43="ND")*($A$13:$A$43="Ft"))</f>
        <v>0</v>
      </c>
      <c r="R78" s="120"/>
      <c r="S78" s="120"/>
      <c r="T78" s="242"/>
      <c r="U78" s="242"/>
      <c r="V78" s="242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  <c r="AH78" s="302"/>
    </row>
    <row r="79" spans="1:34" s="59" customFormat="1" ht="13" customHeight="1">
      <c r="A79" s="471"/>
      <c r="C79" s="121" t="s">
        <v>93</v>
      </c>
      <c r="D79" s="122"/>
      <c r="E79" s="123"/>
      <c r="F79" s="123"/>
      <c r="G79" s="123"/>
      <c r="H79" s="124">
        <f>SUMPRODUCT((WEEKDAY($B$14:$B$44,2)=7)*($D$14:$D$44="ND"))-SUMPRODUCT((WEEKDAY($B$14:$B$44,2)=7)*($D$14:$D$44="ND")*($A$14:$A$44="Ft"))</f>
        <v>0</v>
      </c>
      <c r="R79" s="120"/>
      <c r="S79" s="120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  <c r="AH79" s="302"/>
    </row>
    <row r="80" spans="1:34" s="59" customFormat="1" ht="13" customHeight="1">
      <c r="A80" s="471"/>
      <c r="C80" s="121" t="s">
        <v>94</v>
      </c>
      <c r="D80" s="122"/>
      <c r="E80" s="123"/>
      <c r="F80" s="123"/>
      <c r="G80" s="123"/>
      <c r="H80" s="124">
        <f>SUMPRODUCT(($D$14:$D$44="ND")*($A$14:$A$44="Ft"))</f>
        <v>0</v>
      </c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42"/>
      <c r="AG80" s="242"/>
      <c r="AH80" s="302"/>
    </row>
    <row r="81" spans="1:34" s="59" customFormat="1" ht="13" customHeight="1">
      <c r="A81" s="471"/>
      <c r="C81" s="121" t="s">
        <v>95</v>
      </c>
      <c r="D81" s="122"/>
      <c r="E81" s="125"/>
      <c r="F81" s="125"/>
      <c r="G81" s="125"/>
      <c r="H81" s="124">
        <f>SUMPRODUCT((WEEKDAY($C$13:$C$43,2)=7)*($D$13:$D$43="ND")*($A$14:$A$44="Ft"))-SUMPRODUCT((WEEKDAY($C$13:$C$43,2)=7)*($D$13:$D$43="ND")*($A$13:$A$43="Ft")*($A$14:$A$44="Ft"))</f>
        <v>0</v>
      </c>
      <c r="T81" s="242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  <c r="AH81" s="302"/>
    </row>
    <row r="82" spans="1:34" s="59" customFormat="1" ht="13" customHeight="1">
      <c r="A82" s="471"/>
      <c r="C82" s="121" t="s">
        <v>96</v>
      </c>
      <c r="D82" s="122"/>
      <c r="E82" s="125"/>
      <c r="F82" s="125"/>
      <c r="G82" s="125"/>
      <c r="H82" s="124">
        <f>SUMPRODUCT(($A$13:$A$43="Ft")*($D$13:$D$43="ND")*($A$14:$A$44="Ft"))</f>
        <v>0</v>
      </c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42"/>
      <c r="AG82" s="242"/>
      <c r="AH82" s="302"/>
    </row>
    <row r="83" spans="1:34" s="59" customFormat="1" ht="13" customHeight="1">
      <c r="A83" s="471"/>
      <c r="C83" s="121" t="s">
        <v>97</v>
      </c>
      <c r="D83" s="122"/>
      <c r="E83" s="125"/>
      <c r="F83" s="122"/>
      <c r="G83" s="122"/>
      <c r="H83" s="124">
        <f>SUMPRODUCT(($A$13:$A$43="Ft")*(WEEKDAY($C$14:$C$44,2)=7)*($D$13:$D$43="ND"))-SUMPRODUCT(($A$13:$A$43="Ft")*($A$14:$A$44="Ft")*(WEEKDAY($C$14:$C$44,2)=7)*($D$13:$D$43="ND"))</f>
        <v>0</v>
      </c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302"/>
    </row>
    <row r="84" spans="1:34" s="59" customFormat="1" ht="13" customHeight="1">
      <c r="A84" s="471"/>
      <c r="C84" s="126" t="s">
        <v>152</v>
      </c>
      <c r="D84" s="127"/>
      <c r="E84" s="161"/>
      <c r="F84" s="127"/>
      <c r="G84" s="127"/>
      <c r="H84" s="199">
        <f>SUMPRODUCT(($A$14:$A$44="Ft")*(WEEKDAY($C$13:$C$43,2)&lt;6)*($D$13:$D$43="ND"))-(SUMPRODUCT(($A$14:$A$44="Ft")*($A$13:$A$43="Ft")*(WEEKDAY($C$13:$C$43,2)&lt;6)*($D$13:$D$43="ND")))</f>
        <v>0</v>
      </c>
      <c r="T84" s="242"/>
      <c r="U84" s="242"/>
      <c r="V84" s="242"/>
      <c r="W84" s="242"/>
      <c r="X84" s="242"/>
      <c r="Y84" s="242"/>
      <c r="Z84" s="242"/>
      <c r="AA84" s="242"/>
      <c r="AB84" s="242"/>
      <c r="AC84" s="242"/>
      <c r="AD84" s="242"/>
      <c r="AE84" s="242"/>
      <c r="AF84" s="242"/>
      <c r="AG84" s="242"/>
      <c r="AH84" s="302"/>
    </row>
    <row r="85" spans="1:34" s="59" customFormat="1" ht="13" customHeight="1">
      <c r="A85" s="471"/>
      <c r="C85" s="164" t="s">
        <v>244</v>
      </c>
      <c r="D85" s="165"/>
      <c r="E85" s="166"/>
      <c r="F85" s="166"/>
      <c r="G85" s="166"/>
      <c r="H85" s="167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242"/>
      <c r="AF85" s="242"/>
      <c r="AG85" s="242"/>
      <c r="AH85" s="302"/>
    </row>
    <row r="86" spans="1:34" s="59" customFormat="1" ht="13" customHeight="1">
      <c r="A86" s="471"/>
      <c r="C86" s="267" t="s">
        <v>401</v>
      </c>
      <c r="D86" s="268"/>
      <c r="E86" s="268"/>
      <c r="F86" s="268"/>
      <c r="G86" s="268"/>
      <c r="H86" s="163"/>
      <c r="T86" s="242"/>
      <c r="U86" s="242"/>
      <c r="V86" s="242"/>
      <c r="W86" s="242"/>
      <c r="X86" s="242"/>
      <c r="Y86" s="242"/>
      <c r="Z86" s="242"/>
      <c r="AA86" s="242"/>
      <c r="AB86" s="242"/>
      <c r="AC86" s="242"/>
      <c r="AD86" s="242"/>
      <c r="AE86" s="242"/>
      <c r="AF86" s="242"/>
      <c r="AG86" s="242"/>
      <c r="AH86" s="302"/>
    </row>
    <row r="87" spans="1:34" s="59" customFormat="1" ht="13" customHeight="1">
      <c r="A87" s="471"/>
      <c r="C87" s="121" t="s">
        <v>16</v>
      </c>
      <c r="D87" s="122"/>
      <c r="E87" s="122"/>
      <c r="F87" s="122"/>
      <c r="G87" s="122"/>
      <c r="H87" s="124">
        <f>SUMPRODUCT((WEEKDAY($B$14:$B$44,2)=7)*($D$14:$D$44="TD"))+SUMPRODUCT(($D$14:$D$44="TD")*($A$14:$A$44="Ft"))-SUMPRODUCT((WEEKDAY($B$14:$B$44,2)=7)*($D$14:$D$44="TD")*($A$14:$A$44="Ft"))</f>
        <v>0</v>
      </c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  <c r="AH87" s="302"/>
    </row>
    <row r="88" spans="1:34" s="59" customFormat="1" ht="13" customHeight="1">
      <c r="A88" s="471"/>
      <c r="C88" s="121" t="s">
        <v>225</v>
      </c>
      <c r="D88" s="122"/>
      <c r="E88" s="122"/>
      <c r="F88" s="122"/>
      <c r="G88" s="122"/>
      <c r="H88" s="124">
        <f>SUMPRODUCT((WEEKDAY($B$14:$B$44,2)=7)*($D$14:$D$44="TD5,5"))+SUMPRODUCT(($D$14:$D$44="TD5,5")*($A$14:$A$44="Ft"))-SUMPRODUCT((WEEKDAY($B$14:$B$44,2)=7)*($D$14:$D$44="TD5,5")*($A$14:$A$44="Ft"))</f>
        <v>0</v>
      </c>
      <c r="T88" s="242"/>
      <c r="U88" s="242"/>
      <c r="V88" s="242"/>
      <c r="W88" s="242"/>
      <c r="X88" s="242"/>
      <c r="Y88" s="242"/>
      <c r="Z88" s="242"/>
      <c r="AA88" s="242"/>
      <c r="AB88" s="242"/>
      <c r="AC88" s="242"/>
      <c r="AD88" s="242"/>
      <c r="AE88" s="242"/>
      <c r="AF88" s="242"/>
      <c r="AG88" s="242"/>
      <c r="AH88" s="302"/>
    </row>
    <row r="89" spans="1:34" s="59" customFormat="1" ht="13" customHeight="1">
      <c r="A89" s="471"/>
      <c r="C89" s="121" t="s">
        <v>88</v>
      </c>
      <c r="D89" s="122"/>
      <c r="E89" s="122"/>
      <c r="F89" s="122"/>
      <c r="G89" s="122"/>
      <c r="H89" s="124">
        <f>SUMPRODUCT((WEEKDAY($B$14:$B$44,2)=7)*($D$14:$D$44="TD6"))+SUMPRODUCT(($D$14:$D$44="TD6")*($A$14:$A$44="Ft"))-SUMPRODUCT((WEEKDAY($B$14:$B$44,2)=7)*($D$14:$D$44="TD6")*($A$14:$A$44="Ft"))</f>
        <v>0</v>
      </c>
      <c r="T89" s="242"/>
      <c r="U89" s="242"/>
      <c r="V89" s="242"/>
      <c r="W89" s="242"/>
      <c r="X89" s="242"/>
      <c r="Y89" s="242"/>
      <c r="Z89" s="242"/>
      <c r="AA89" s="242"/>
      <c r="AB89" s="242"/>
      <c r="AC89" s="242"/>
      <c r="AD89" s="242"/>
      <c r="AE89" s="242"/>
      <c r="AF89" s="242"/>
      <c r="AG89" s="242"/>
      <c r="AH89" s="302"/>
    </row>
    <row r="90" spans="1:34" s="59" customFormat="1" ht="13" customHeight="1">
      <c r="A90" s="471"/>
      <c r="C90" s="121" t="s">
        <v>184</v>
      </c>
      <c r="D90" s="122"/>
      <c r="E90" s="122"/>
      <c r="F90" s="122"/>
      <c r="G90" s="122"/>
      <c r="H90" s="124">
        <f>SUMPRODUCT((WEEKDAY($B$14:$B$44,2)=7)*($D$14:$D$44="TD6,25"))+SUMPRODUCT(($D$14:$D$44="TD6,25")*($A$14:$A$44="Ft"))-SUMPRODUCT((WEEKDAY($B$14:$B$44,2)=7)*($D$14:$D$44="TD6,25")*($A$14:$A$44="Ft"))</f>
        <v>0</v>
      </c>
      <c r="T90" s="242"/>
      <c r="U90" s="242"/>
      <c r="V90" s="242"/>
      <c r="W90" s="242"/>
      <c r="X90" s="242"/>
      <c r="Y90" s="242"/>
      <c r="Z90" s="242"/>
      <c r="AA90" s="242"/>
      <c r="AB90" s="242"/>
      <c r="AC90" s="242"/>
      <c r="AD90" s="242"/>
      <c r="AE90" s="242"/>
      <c r="AF90" s="242"/>
      <c r="AG90" s="242"/>
      <c r="AH90" s="302"/>
    </row>
    <row r="91" spans="1:34" s="59" customFormat="1" ht="13" customHeight="1">
      <c r="A91" s="471"/>
      <c r="C91" s="121" t="s">
        <v>209</v>
      </c>
      <c r="D91" s="122"/>
      <c r="E91" s="122"/>
      <c r="F91" s="122"/>
      <c r="G91" s="122"/>
      <c r="H91" s="124">
        <f>SUMPRODUCT((WEEKDAY($B$14:$B$44,2)=7)*($D$14:$D$44="TD6,5"))+SUMPRODUCT(($D$14:$D$44="TD6,5")*($A$14:$A$44="Ft"))-SUMPRODUCT((WEEKDAY($B$14:$B$44,2)=7)*($D$14:$D$44="TD6,5")*($A$14:$A$44="Ft"))</f>
        <v>0</v>
      </c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302"/>
    </row>
    <row r="92" spans="1:34" s="59" customFormat="1" ht="13" customHeight="1">
      <c r="A92" s="471"/>
      <c r="C92" s="121" t="s">
        <v>86</v>
      </c>
      <c r="D92" s="122"/>
      <c r="E92" s="122"/>
      <c r="F92" s="122"/>
      <c r="G92" s="122"/>
      <c r="H92" s="124">
        <f>SUMPRODUCT((WEEKDAY($B$14:$B$44,2)=7)*($D$14:$D$44="TD7"))+SUMPRODUCT(($D$14:$D$44="TD7")*($A$14:$A$44="Ft"))-SUMPRODUCT((WEEKDAY($B$14:$B$44,2)=7)*($D$14:$D$44="TD7")*($A$14:$A$44="Ft"))</f>
        <v>0</v>
      </c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302"/>
    </row>
    <row r="93" spans="1:34" s="59" customFormat="1" ht="13" customHeight="1">
      <c r="A93" s="471"/>
      <c r="C93" s="121" t="s">
        <v>213</v>
      </c>
      <c r="D93" s="122"/>
      <c r="E93" s="122"/>
      <c r="F93" s="122"/>
      <c r="G93" s="122"/>
      <c r="H93" s="124">
        <f>SUMPRODUCT((WEEKDAY($B$14:$B$44,2)=7)*($D$14:$D$44="TD7,5"))+SUMPRODUCT(($D$14:$D$44="TD7,5")*($A$14:$A$44="Ft"))-SUMPRODUCT((WEEKDAY($B$14:$B$44,2)=7)*($D$14:$D$44="TD7,5")*($A$14:$A$44="Ft"))</f>
        <v>0</v>
      </c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302"/>
    </row>
    <row r="94" spans="1:34" s="59" customFormat="1" ht="13" customHeight="1">
      <c r="A94" s="471"/>
      <c r="C94" s="121" t="s">
        <v>71</v>
      </c>
      <c r="D94" s="122"/>
      <c r="E94" s="122"/>
      <c r="F94" s="122"/>
      <c r="G94" s="122"/>
      <c r="H94" s="124">
        <f>SUMPRODUCT((WEEKDAY($B$14:$B$44,2)=7)*($D$14:$D$44="TD8"))+SUMPRODUCT(($D$14:$D$44="TD8")*($A$14:$A$44="Ft"))-SUMPRODUCT((WEEKDAY($B$14:$B$44,2)=7)*($D$14:$D$44="TD8")*($A$14:$A$44="Ft"))</f>
        <v>0</v>
      </c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42"/>
      <c r="AG94" s="242"/>
      <c r="AH94" s="302"/>
    </row>
    <row r="95" spans="1:34" s="59" customFormat="1" ht="13" customHeight="1">
      <c r="A95" s="471"/>
      <c r="C95" s="121" t="s">
        <v>214</v>
      </c>
      <c r="D95" s="122"/>
      <c r="E95" s="122"/>
      <c r="F95" s="122"/>
      <c r="G95" s="122"/>
      <c r="H95" s="124">
        <f>SUMPRODUCT((WEEKDAY($B$14:$B$44,2)=7)*($D$14:$D$44="TD8,5"))+SUMPRODUCT(($D$14:$D$44="TD8,5")*($A$14:$A$44="Ft"))-SUMPRODUCT((WEEKDAY($B$14:$B$44,2)=7)*($D$14:$D$44="TD8,5")*($A$14:$A$44="Ft"))</f>
        <v>0</v>
      </c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302"/>
    </row>
    <row r="96" spans="1:34" ht="13" customHeight="1">
      <c r="C96" s="121" t="s">
        <v>84</v>
      </c>
      <c r="D96" s="122"/>
      <c r="E96" s="122"/>
      <c r="F96" s="122"/>
      <c r="G96" s="122"/>
      <c r="H96" s="12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21" t="s">
        <v>215</v>
      </c>
      <c r="D97" s="122"/>
      <c r="E97" s="122"/>
      <c r="F97" s="122"/>
      <c r="G97" s="122"/>
      <c r="H97" s="12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21" t="s">
        <v>413</v>
      </c>
      <c r="D98" s="122"/>
      <c r="E98" s="122"/>
      <c r="F98" s="122"/>
      <c r="G98" s="122"/>
      <c r="H98" s="12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21" t="s">
        <v>216</v>
      </c>
      <c r="D99" s="122"/>
      <c r="E99" s="122"/>
      <c r="F99" s="122"/>
      <c r="G99" s="122"/>
      <c r="H99" s="12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21" t="s">
        <v>217</v>
      </c>
      <c r="D100" s="122"/>
      <c r="E100" s="122"/>
      <c r="F100" s="122"/>
      <c r="G100" s="122"/>
      <c r="H100" s="12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21" t="s">
        <v>210</v>
      </c>
      <c r="D101" s="122"/>
      <c r="E101" s="122"/>
      <c r="F101" s="122"/>
      <c r="G101" s="122"/>
      <c r="H101" s="12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21" t="s">
        <v>218</v>
      </c>
      <c r="D102" s="122"/>
      <c r="E102" s="122"/>
      <c r="F102" s="122"/>
      <c r="G102" s="122"/>
      <c r="H102" s="12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21" t="s">
        <v>119</v>
      </c>
      <c r="D103" s="122"/>
      <c r="E103" s="122"/>
      <c r="F103" s="122"/>
      <c r="G103" s="122"/>
      <c r="H103" s="12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62" t="s">
        <v>149</v>
      </c>
      <c r="D104" s="263"/>
      <c r="E104" s="263"/>
      <c r="F104" s="263"/>
      <c r="G104" s="263"/>
      <c r="H104" s="162"/>
    </row>
    <row r="105" spans="3:8" ht="13" customHeight="1">
      <c r="C105" s="121" t="s">
        <v>153</v>
      </c>
      <c r="D105" s="122"/>
      <c r="E105" s="122"/>
      <c r="F105" s="122"/>
      <c r="G105" s="122"/>
      <c r="H105" s="124">
        <f>SUMPRODUCT((WEEKDAY($B$13:$B$43,2)=6)*($D$13:$D$43="ND12,5"))-SUMPRODUCT((WEEKDAY($B$13:$B$43,2)=6)*($D$13:$D$43="ND12,5")*($A$13:$A$43="Ft"))</f>
        <v>0</v>
      </c>
    </row>
    <row r="106" spans="3:8">
      <c r="C106" s="121" t="s">
        <v>150</v>
      </c>
      <c r="D106" s="125"/>
      <c r="E106" s="125"/>
      <c r="F106" s="125"/>
      <c r="G106" s="125"/>
      <c r="H106" s="124">
        <f>SUMPRODUCT((WEEKDAY($B$14:$B$44,2)=7)*($D$14:$D$44="ND12,5"))-SUMPRODUCT((WEEKDAY($B$14:$B$44,2)=7)*($D$14:$D$44="ND12,5")*($A$14:$A$44="Ft"))</f>
        <v>0</v>
      </c>
    </row>
    <row r="107" spans="3:8">
      <c r="C107" s="121" t="s">
        <v>151</v>
      </c>
      <c r="D107" s="125"/>
      <c r="E107" s="125"/>
      <c r="F107" s="125"/>
      <c r="G107" s="125"/>
      <c r="H107" s="124">
        <f>SUMPRODUCT(($D$14:$D$44="ND12,5")*($A$14:$A$44="Ft"))</f>
        <v>0</v>
      </c>
    </row>
    <row r="108" spans="3:8">
      <c r="C108" s="121" t="s">
        <v>155</v>
      </c>
      <c r="D108" s="125"/>
      <c r="E108" s="125"/>
      <c r="F108" s="125"/>
      <c r="G108" s="125"/>
      <c r="H108" s="12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21" t="s">
        <v>156</v>
      </c>
      <c r="D109" s="125"/>
      <c r="E109" s="125"/>
      <c r="F109" s="125"/>
      <c r="G109" s="125"/>
      <c r="H109" s="124">
        <f>SUMPRODUCT(($A$13:$A$43="Ft")*($D$13:$D$43="ND12,5")*($A$14:$A$44="Ft"))</f>
        <v>0</v>
      </c>
    </row>
    <row r="110" spans="3:8">
      <c r="C110" s="121" t="s">
        <v>157</v>
      </c>
      <c r="D110" s="125"/>
      <c r="E110" s="125"/>
      <c r="F110" s="125"/>
      <c r="G110" s="125"/>
      <c r="H110" s="12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26" t="s">
        <v>154</v>
      </c>
      <c r="D111" s="161"/>
      <c r="E111" s="161"/>
      <c r="F111" s="161"/>
      <c r="G111" s="161"/>
      <c r="H111" s="199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yHRN/vZYS+ZWQ9j6IXzJ7P+Lf13vrrWDSSLGvZobz/F54JwNbn9mtUEhDUV4z+PmM/UsQ5tPnDzYGk8XH7v/cA==" saltValue="eZTrSYbFA7+uEiCjsVL+Rg==" spinCount="100000" sheet="1" selectLockedCells="1"/>
  <mergeCells count="63">
    <mergeCell ref="N70:O70"/>
    <mergeCell ref="N71:O71"/>
    <mergeCell ref="N72:O72"/>
    <mergeCell ref="N50:P51"/>
    <mergeCell ref="L9:L11"/>
    <mergeCell ref="N53:O53"/>
    <mergeCell ref="N54:O54"/>
    <mergeCell ref="N69:O69"/>
    <mergeCell ref="N67:O67"/>
    <mergeCell ref="N68:O68"/>
    <mergeCell ref="N61:O61"/>
    <mergeCell ref="N62:O62"/>
    <mergeCell ref="N63:O63"/>
    <mergeCell ref="N64:P65"/>
    <mergeCell ref="N66:O66"/>
    <mergeCell ref="B9:C11"/>
    <mergeCell ref="L48:O48"/>
    <mergeCell ref="N52:O52"/>
    <mergeCell ref="K9:K11"/>
    <mergeCell ref="D9:D11"/>
    <mergeCell ref="E9:E11"/>
    <mergeCell ref="F9:G10"/>
    <mergeCell ref="H9:I10"/>
    <mergeCell ref="J9:J11"/>
    <mergeCell ref="N13:O13"/>
    <mergeCell ref="L47:O47"/>
    <mergeCell ref="M9:M11"/>
    <mergeCell ref="C50:D50"/>
    <mergeCell ref="N5:P5"/>
    <mergeCell ref="K8:M8"/>
    <mergeCell ref="N8:P8"/>
    <mergeCell ref="K6:M6"/>
    <mergeCell ref="K7:M7"/>
    <mergeCell ref="N7:P7"/>
    <mergeCell ref="K5:M5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G54:I54"/>
    <mergeCell ref="N60:O60"/>
    <mergeCell ref="N55:O55"/>
    <mergeCell ref="N56:O56"/>
    <mergeCell ref="N57:O57"/>
    <mergeCell ref="N58:P59"/>
    <mergeCell ref="AG10:AG11"/>
    <mergeCell ref="N6:P6"/>
    <mergeCell ref="AF10:AF11"/>
    <mergeCell ref="N9:N11"/>
    <mergeCell ref="O9:O11"/>
    <mergeCell ref="U10:Y10"/>
    <mergeCell ref="AA10:AE10"/>
    <mergeCell ref="P9:P11"/>
    <mergeCell ref="S9:S11"/>
    <mergeCell ref="R9:R11"/>
    <mergeCell ref="Q9:Q11"/>
  </mergeCells>
  <conditionalFormatting sqref="A13:A44">
    <cfRule type="cellIs" dxfId="149" priority="8" operator="equal">
      <formula>"HFT"</formula>
    </cfRule>
    <cfRule type="cellIs" dxfId="148" priority="9" operator="equal">
      <formula>"FT"</formula>
    </cfRule>
  </conditionalFormatting>
  <conditionalFormatting sqref="A45">
    <cfRule type="cellIs" dxfId="147" priority="282" operator="equal">
      <formula>"Ft"</formula>
    </cfRule>
  </conditionalFormatting>
  <conditionalFormatting sqref="B13:C44">
    <cfRule type="expression" dxfId="146" priority="283">
      <formula>WEEKDAY($C13,2)&gt;5</formula>
    </cfRule>
  </conditionalFormatting>
  <conditionalFormatting sqref="E8">
    <cfRule type="cellIs" dxfId="144" priority="43" operator="greaterThan">
      <formula>48</formula>
    </cfRule>
  </conditionalFormatting>
  <conditionalFormatting sqref="I47:K47">
    <cfRule type="cellIs" dxfId="143" priority="112" operator="equal">
      <formula>"Wochenarbeitszeit überschritten"</formula>
    </cfRule>
  </conditionalFormatting>
  <conditionalFormatting sqref="J45:P45">
    <cfRule type="cellIs" dxfId="142" priority="152" operator="equal">
      <formula>0</formula>
    </cfRule>
  </conditionalFormatting>
  <conditionalFormatting sqref="K8">
    <cfRule type="cellIs" dxfId="141" priority="201" operator="lessThan">
      <formula>$N$8</formula>
    </cfRule>
    <cfRule type="cellIs" dxfId="140" priority="199" operator="equal">
      <formula>$N$8</formula>
    </cfRule>
    <cfRule type="cellIs" dxfId="139" priority="200" operator="greaterThan">
      <formula>$N$8</formula>
    </cfRule>
  </conditionalFormatting>
  <conditionalFormatting sqref="K14:K44">
    <cfRule type="cellIs" dxfId="138" priority="31" operator="lessThanOrEqual">
      <formula>0</formula>
    </cfRule>
    <cfRule type="cellIs" dxfId="137" priority="32" operator="greaterThan">
      <formula>0</formula>
    </cfRule>
  </conditionalFormatting>
  <conditionalFormatting sqref="K45">
    <cfRule type="cellIs" dxfId="136" priority="204" operator="lessThan">
      <formula>0</formula>
    </cfRule>
  </conditionalFormatting>
  <conditionalFormatting sqref="N14:O44">
    <cfRule type="cellIs" dxfId="135" priority="11" operator="equal">
      <formula>0</formula>
    </cfRule>
  </conditionalFormatting>
  <conditionalFormatting sqref="P13:P44">
    <cfRule type="cellIs" dxfId="134" priority="2" operator="equal">
      <formula>0</formula>
    </cfRule>
  </conditionalFormatting>
  <conditionalFormatting sqref="P60:P63">
    <cfRule type="cellIs" dxfId="133" priority="58" operator="lessThan">
      <formula>0</formula>
    </cfRule>
  </conditionalFormatting>
  <conditionalFormatting sqref="Q47">
    <cfRule type="cellIs" dxfId="132" priority="47" operator="equal">
      <formula>0</formula>
    </cfRule>
  </conditionalFormatting>
  <conditionalFormatting sqref="T14:T44">
    <cfRule type="cellIs" dxfId="131" priority="262" operator="equal">
      <formula>0</formula>
    </cfRule>
  </conditionalFormatting>
  <conditionalFormatting sqref="T45:W45">
    <cfRule type="cellIs" dxfId="130" priority="146" operator="equal">
      <formula>0</formula>
    </cfRule>
  </conditionalFormatting>
  <conditionalFormatting sqref="T51:W51">
    <cfRule type="cellIs" dxfId="129" priority="25" operator="equal">
      <formula>0</formula>
    </cfRule>
  </conditionalFormatting>
  <conditionalFormatting sqref="U15:W44">
    <cfRule type="cellIs" dxfId="128" priority="236" operator="equal">
      <formula>0</formula>
    </cfRule>
  </conditionalFormatting>
  <conditionalFormatting sqref="U51:Y53">
    <cfRule type="cellIs" dxfId="127" priority="15" operator="equal">
      <formula>0</formula>
    </cfRule>
  </conditionalFormatting>
  <conditionalFormatting sqref="V14">
    <cfRule type="cellIs" dxfId="126" priority="263" operator="equal">
      <formula>0</formula>
    </cfRule>
  </conditionalFormatting>
  <conditionalFormatting sqref="V13:W13">
    <cfRule type="cellIs" dxfId="125" priority="162" operator="equal">
      <formula>0</formula>
    </cfRule>
  </conditionalFormatting>
  <conditionalFormatting sqref="W52">
    <cfRule type="cellIs" dxfId="124" priority="19" operator="equal">
      <formula>0</formula>
    </cfRule>
  </conditionalFormatting>
  <conditionalFormatting sqref="X13:Y45">
    <cfRule type="cellIs" dxfId="123" priority="59" operator="equal">
      <formula>0</formula>
    </cfRule>
  </conditionalFormatting>
  <conditionalFormatting sqref="Z13:Z44">
    <cfRule type="cellIs" dxfId="122" priority="163" operator="equal">
      <formula>0</formula>
    </cfRule>
  </conditionalFormatting>
  <conditionalFormatting sqref="Z51:AC51">
    <cfRule type="cellIs" dxfId="121" priority="23" operator="equal">
      <formula>0</formula>
    </cfRule>
  </conditionalFormatting>
  <conditionalFormatting sqref="Z45:AD45">
    <cfRule type="cellIs" dxfId="120" priority="144" operator="equal">
      <formula>0</formula>
    </cfRule>
  </conditionalFormatting>
  <conditionalFormatting sqref="AA14:AB44">
    <cfRule type="cellIs" dxfId="119" priority="33" operator="equal">
      <formula>0</formula>
    </cfRule>
  </conditionalFormatting>
  <conditionalFormatting sqref="AA51:AE52">
    <cfRule type="cellIs" dxfId="118" priority="5" operator="equal">
      <formula>0</formula>
    </cfRule>
  </conditionalFormatting>
  <conditionalFormatting sqref="AC13:AD44">
    <cfRule type="cellIs" dxfId="117" priority="119" operator="equal">
      <formula>0</formula>
    </cfRule>
  </conditionalFormatting>
  <conditionalFormatting sqref="AE13:AE45">
    <cfRule type="cellIs" dxfId="116" priority="1" operator="equal">
      <formula>0</formula>
    </cfRule>
  </conditionalFormatting>
  <conditionalFormatting sqref="AF13:AG44">
    <cfRule type="cellIs" dxfId="115" priority="73" operator="equal">
      <formula>0</formula>
    </cfRule>
  </conditionalFormatting>
  <conditionalFormatting sqref="AG51:AH51">
    <cfRule type="cellIs" dxfId="114" priority="14" operator="equal">
      <formula>0</formula>
    </cfRule>
  </conditionalFormatting>
  <conditionalFormatting sqref="AH14:AH44">
    <cfRule type="cellIs" dxfId="113" priority="28" operator="equal">
      <formula>0</formula>
    </cfRule>
  </conditionalFormatting>
  <conditionalFormatting sqref="AH51:AH52">
    <cfRule type="cellIs" dxfId="112" priority="12" operator="equal">
      <formula>0</formula>
    </cfRule>
  </conditionalFormatting>
  <dataValidations count="4">
    <dataValidation type="list" allowBlank="1" showInputMessage="1" showErrorMessage="1" sqref="J14:J44" xr:uid="{BB5E6636-36E0-41C9-89EB-0AA5AB43E14A}">
      <formula1>AbwesenheitenStunden</formula1>
    </dataValidation>
    <dataValidation type="list" allowBlank="1" showInputMessage="1" showErrorMessage="1" error="Die Eingabe ist unzulässig_x000a_Bitte Drop Down Felder verwenden" sqref="F14:G44" xr:uid="{7CC089C5-1417-42A3-80E5-D6E0AB73FE7E}">
      <formula1>Zeiten1</formula1>
    </dataValidation>
    <dataValidation type="decimal" allowBlank="1" showInputMessage="1" showErrorMessage="1" error="Die ausgewählte Stundenanzahl steht nicht zur Verfügung!" sqref="J54" xr:uid="{4FAAFD2C-2BCB-47FD-A873-1F96B37FD28D}">
      <formula1>0</formula1>
      <formula2>K54</formula2>
    </dataValidation>
    <dataValidation type="list" allowBlank="1" showInputMessage="1" showErrorMessage="1" sqref="H14:I44" xr:uid="{A07E7C9D-1533-4C0C-BF65-D8AAB22BBFEF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5" id="{B02D56C9-4867-4BDA-A716-8C193D08B764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C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322009E9-B610-4560-BBA1-143F77DE375F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A130D1DD-90FB-4713-8E98-262689ED43CD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63A6C0AE-C238-42CB-AB0D-4BDA5E03326A}">
          <x14:formula1>
            <xm:f>Datenblatt!$D$58:$D$59</xm:f>
          </x14:formula1>
          <xm:sqref>P47 J58</xm:sqref>
        </x14:dataValidation>
        <x14:dataValidation type="list" allowBlank="1" showInputMessage="1" showErrorMessage="1" xr:uid="{EAF43AAA-DC76-431D-98EA-B9B592633BD5}">
          <x14:formula1>
            <xm:f>Datenblatt!$D$52:$D$53</xm:f>
          </x14:formula1>
          <xm:sqref>P48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71" customWidth="1"/>
    <col min="2" max="2" width="3.1640625" style="56" customWidth="1"/>
    <col min="3" max="3" width="8.83203125" style="56" customWidth="1"/>
    <col min="4" max="5" width="9.83203125" style="56" customWidth="1"/>
    <col min="6" max="10" width="9.1640625" style="56" customWidth="1"/>
    <col min="11" max="16" width="8.83203125" style="56" customWidth="1"/>
    <col min="17" max="17" width="23.5" style="66" customWidth="1"/>
    <col min="18" max="18" width="36.5" style="66" customWidth="1"/>
    <col min="19" max="19" width="43.5" style="56" customWidth="1"/>
    <col min="20" max="33" width="7.1640625" style="234" customWidth="1"/>
    <col min="34" max="34" width="7.1640625" style="301" customWidth="1"/>
    <col min="35" max="264" width="11.5" style="56"/>
    <col min="265" max="265" width="0.5" style="56" customWidth="1"/>
    <col min="266" max="266" width="3.1640625" style="56" customWidth="1"/>
    <col min="267" max="267" width="8.83203125" style="56" customWidth="1"/>
    <col min="268" max="268" width="14.83203125" style="56" customWidth="1"/>
    <col min="269" max="270" width="6.5" style="56" customWidth="1"/>
    <col min="271" max="271" width="14.83203125" style="56" customWidth="1"/>
    <col min="272" max="273" width="11.5" style="56" customWidth="1"/>
    <col min="274" max="274" width="6.1640625" style="56" customWidth="1"/>
    <col min="275" max="275" width="22.83203125" style="56" customWidth="1"/>
    <col min="276" max="276" width="11.5" style="56" customWidth="1"/>
    <col min="277" max="277" width="13.83203125" style="56" customWidth="1"/>
    <col min="278" max="278" width="5.83203125" style="56" customWidth="1"/>
    <col min="279" max="279" width="15.5" style="56" customWidth="1"/>
    <col min="280" max="520" width="11.5" style="56"/>
    <col min="521" max="521" width="0.5" style="56" customWidth="1"/>
    <col min="522" max="522" width="3.1640625" style="56" customWidth="1"/>
    <col min="523" max="523" width="8.83203125" style="56" customWidth="1"/>
    <col min="524" max="524" width="14.83203125" style="56" customWidth="1"/>
    <col min="525" max="526" width="6.5" style="56" customWidth="1"/>
    <col min="527" max="527" width="14.83203125" style="56" customWidth="1"/>
    <col min="528" max="529" width="11.5" style="56" customWidth="1"/>
    <col min="530" max="530" width="6.1640625" style="56" customWidth="1"/>
    <col min="531" max="531" width="22.83203125" style="56" customWidth="1"/>
    <col min="532" max="532" width="11.5" style="56" customWidth="1"/>
    <col min="533" max="533" width="13.83203125" style="56" customWidth="1"/>
    <col min="534" max="534" width="5.83203125" style="56" customWidth="1"/>
    <col min="535" max="535" width="15.5" style="56" customWidth="1"/>
    <col min="536" max="776" width="11.5" style="56"/>
    <col min="777" max="777" width="0.5" style="56" customWidth="1"/>
    <col min="778" max="778" width="3.1640625" style="56" customWidth="1"/>
    <col min="779" max="779" width="8.83203125" style="56" customWidth="1"/>
    <col min="780" max="780" width="14.83203125" style="56" customWidth="1"/>
    <col min="781" max="782" width="6.5" style="56" customWidth="1"/>
    <col min="783" max="783" width="14.83203125" style="56" customWidth="1"/>
    <col min="784" max="785" width="11.5" style="56" customWidth="1"/>
    <col min="786" max="786" width="6.1640625" style="56" customWidth="1"/>
    <col min="787" max="787" width="22.83203125" style="56" customWidth="1"/>
    <col min="788" max="788" width="11.5" style="56" customWidth="1"/>
    <col min="789" max="789" width="13.83203125" style="56" customWidth="1"/>
    <col min="790" max="790" width="5.83203125" style="56" customWidth="1"/>
    <col min="791" max="791" width="15.5" style="56" customWidth="1"/>
    <col min="792" max="1032" width="11.5" style="56"/>
    <col min="1033" max="1033" width="0.5" style="56" customWidth="1"/>
    <col min="1034" max="1034" width="3.1640625" style="56" customWidth="1"/>
    <col min="1035" max="1035" width="8.83203125" style="56" customWidth="1"/>
    <col min="1036" max="1036" width="14.83203125" style="56" customWidth="1"/>
    <col min="1037" max="1038" width="6.5" style="56" customWidth="1"/>
    <col min="1039" max="1039" width="14.83203125" style="56" customWidth="1"/>
    <col min="1040" max="1041" width="11.5" style="56" customWidth="1"/>
    <col min="1042" max="1042" width="6.1640625" style="56" customWidth="1"/>
    <col min="1043" max="1043" width="22.83203125" style="56" customWidth="1"/>
    <col min="1044" max="1044" width="11.5" style="56" customWidth="1"/>
    <col min="1045" max="1045" width="13.83203125" style="56" customWidth="1"/>
    <col min="1046" max="1046" width="5.83203125" style="56" customWidth="1"/>
    <col min="1047" max="1047" width="15.5" style="56" customWidth="1"/>
    <col min="1048" max="1288" width="11.5" style="56"/>
    <col min="1289" max="1289" width="0.5" style="56" customWidth="1"/>
    <col min="1290" max="1290" width="3.1640625" style="56" customWidth="1"/>
    <col min="1291" max="1291" width="8.83203125" style="56" customWidth="1"/>
    <col min="1292" max="1292" width="14.83203125" style="56" customWidth="1"/>
    <col min="1293" max="1294" width="6.5" style="56" customWidth="1"/>
    <col min="1295" max="1295" width="14.83203125" style="56" customWidth="1"/>
    <col min="1296" max="1297" width="11.5" style="56" customWidth="1"/>
    <col min="1298" max="1298" width="6.1640625" style="56" customWidth="1"/>
    <col min="1299" max="1299" width="22.83203125" style="56" customWidth="1"/>
    <col min="1300" max="1300" width="11.5" style="56" customWidth="1"/>
    <col min="1301" max="1301" width="13.83203125" style="56" customWidth="1"/>
    <col min="1302" max="1302" width="5.83203125" style="56" customWidth="1"/>
    <col min="1303" max="1303" width="15.5" style="56" customWidth="1"/>
    <col min="1304" max="1544" width="11.5" style="56"/>
    <col min="1545" max="1545" width="0.5" style="56" customWidth="1"/>
    <col min="1546" max="1546" width="3.1640625" style="56" customWidth="1"/>
    <col min="1547" max="1547" width="8.83203125" style="56" customWidth="1"/>
    <col min="1548" max="1548" width="14.83203125" style="56" customWidth="1"/>
    <col min="1549" max="1550" width="6.5" style="56" customWidth="1"/>
    <col min="1551" max="1551" width="14.83203125" style="56" customWidth="1"/>
    <col min="1552" max="1553" width="11.5" style="56" customWidth="1"/>
    <col min="1554" max="1554" width="6.1640625" style="56" customWidth="1"/>
    <col min="1555" max="1555" width="22.83203125" style="56" customWidth="1"/>
    <col min="1556" max="1556" width="11.5" style="56" customWidth="1"/>
    <col min="1557" max="1557" width="13.83203125" style="56" customWidth="1"/>
    <col min="1558" max="1558" width="5.83203125" style="56" customWidth="1"/>
    <col min="1559" max="1559" width="15.5" style="56" customWidth="1"/>
    <col min="1560" max="1800" width="11.5" style="56"/>
    <col min="1801" max="1801" width="0.5" style="56" customWidth="1"/>
    <col min="1802" max="1802" width="3.1640625" style="56" customWidth="1"/>
    <col min="1803" max="1803" width="8.83203125" style="56" customWidth="1"/>
    <col min="1804" max="1804" width="14.83203125" style="56" customWidth="1"/>
    <col min="1805" max="1806" width="6.5" style="56" customWidth="1"/>
    <col min="1807" max="1807" width="14.83203125" style="56" customWidth="1"/>
    <col min="1808" max="1809" width="11.5" style="56" customWidth="1"/>
    <col min="1810" max="1810" width="6.1640625" style="56" customWidth="1"/>
    <col min="1811" max="1811" width="22.83203125" style="56" customWidth="1"/>
    <col min="1812" max="1812" width="11.5" style="56" customWidth="1"/>
    <col min="1813" max="1813" width="13.83203125" style="56" customWidth="1"/>
    <col min="1814" max="1814" width="5.83203125" style="56" customWidth="1"/>
    <col min="1815" max="1815" width="15.5" style="56" customWidth="1"/>
    <col min="1816" max="2056" width="11.5" style="56"/>
    <col min="2057" max="2057" width="0.5" style="56" customWidth="1"/>
    <col min="2058" max="2058" width="3.1640625" style="56" customWidth="1"/>
    <col min="2059" max="2059" width="8.83203125" style="56" customWidth="1"/>
    <col min="2060" max="2060" width="14.83203125" style="56" customWidth="1"/>
    <col min="2061" max="2062" width="6.5" style="56" customWidth="1"/>
    <col min="2063" max="2063" width="14.83203125" style="56" customWidth="1"/>
    <col min="2064" max="2065" width="11.5" style="56" customWidth="1"/>
    <col min="2066" max="2066" width="6.1640625" style="56" customWidth="1"/>
    <col min="2067" max="2067" width="22.83203125" style="56" customWidth="1"/>
    <col min="2068" max="2068" width="11.5" style="56" customWidth="1"/>
    <col min="2069" max="2069" width="13.83203125" style="56" customWidth="1"/>
    <col min="2070" max="2070" width="5.83203125" style="56" customWidth="1"/>
    <col min="2071" max="2071" width="15.5" style="56" customWidth="1"/>
    <col min="2072" max="2312" width="11.5" style="56"/>
    <col min="2313" max="2313" width="0.5" style="56" customWidth="1"/>
    <col min="2314" max="2314" width="3.1640625" style="56" customWidth="1"/>
    <col min="2315" max="2315" width="8.83203125" style="56" customWidth="1"/>
    <col min="2316" max="2316" width="14.83203125" style="56" customWidth="1"/>
    <col min="2317" max="2318" width="6.5" style="56" customWidth="1"/>
    <col min="2319" max="2319" width="14.83203125" style="56" customWidth="1"/>
    <col min="2320" max="2321" width="11.5" style="56" customWidth="1"/>
    <col min="2322" max="2322" width="6.1640625" style="56" customWidth="1"/>
    <col min="2323" max="2323" width="22.83203125" style="56" customWidth="1"/>
    <col min="2324" max="2324" width="11.5" style="56" customWidth="1"/>
    <col min="2325" max="2325" width="13.83203125" style="56" customWidth="1"/>
    <col min="2326" max="2326" width="5.83203125" style="56" customWidth="1"/>
    <col min="2327" max="2327" width="15.5" style="56" customWidth="1"/>
    <col min="2328" max="2568" width="11.5" style="56"/>
    <col min="2569" max="2569" width="0.5" style="56" customWidth="1"/>
    <col min="2570" max="2570" width="3.1640625" style="56" customWidth="1"/>
    <col min="2571" max="2571" width="8.83203125" style="56" customWidth="1"/>
    <col min="2572" max="2572" width="14.83203125" style="56" customWidth="1"/>
    <col min="2573" max="2574" width="6.5" style="56" customWidth="1"/>
    <col min="2575" max="2575" width="14.83203125" style="56" customWidth="1"/>
    <col min="2576" max="2577" width="11.5" style="56" customWidth="1"/>
    <col min="2578" max="2578" width="6.1640625" style="56" customWidth="1"/>
    <col min="2579" max="2579" width="22.83203125" style="56" customWidth="1"/>
    <col min="2580" max="2580" width="11.5" style="56" customWidth="1"/>
    <col min="2581" max="2581" width="13.83203125" style="56" customWidth="1"/>
    <col min="2582" max="2582" width="5.83203125" style="56" customWidth="1"/>
    <col min="2583" max="2583" width="15.5" style="56" customWidth="1"/>
    <col min="2584" max="2824" width="11.5" style="56"/>
    <col min="2825" max="2825" width="0.5" style="56" customWidth="1"/>
    <col min="2826" max="2826" width="3.1640625" style="56" customWidth="1"/>
    <col min="2827" max="2827" width="8.83203125" style="56" customWidth="1"/>
    <col min="2828" max="2828" width="14.83203125" style="56" customWidth="1"/>
    <col min="2829" max="2830" width="6.5" style="56" customWidth="1"/>
    <col min="2831" max="2831" width="14.83203125" style="56" customWidth="1"/>
    <col min="2832" max="2833" width="11.5" style="56" customWidth="1"/>
    <col min="2834" max="2834" width="6.1640625" style="56" customWidth="1"/>
    <col min="2835" max="2835" width="22.83203125" style="56" customWidth="1"/>
    <col min="2836" max="2836" width="11.5" style="56" customWidth="1"/>
    <col min="2837" max="2837" width="13.83203125" style="56" customWidth="1"/>
    <col min="2838" max="2838" width="5.83203125" style="56" customWidth="1"/>
    <col min="2839" max="2839" width="15.5" style="56" customWidth="1"/>
    <col min="2840" max="3080" width="11.5" style="56"/>
    <col min="3081" max="3081" width="0.5" style="56" customWidth="1"/>
    <col min="3082" max="3082" width="3.1640625" style="56" customWidth="1"/>
    <col min="3083" max="3083" width="8.83203125" style="56" customWidth="1"/>
    <col min="3084" max="3084" width="14.83203125" style="56" customWidth="1"/>
    <col min="3085" max="3086" width="6.5" style="56" customWidth="1"/>
    <col min="3087" max="3087" width="14.83203125" style="56" customWidth="1"/>
    <col min="3088" max="3089" width="11.5" style="56" customWidth="1"/>
    <col min="3090" max="3090" width="6.1640625" style="56" customWidth="1"/>
    <col min="3091" max="3091" width="22.83203125" style="56" customWidth="1"/>
    <col min="3092" max="3092" width="11.5" style="56" customWidth="1"/>
    <col min="3093" max="3093" width="13.83203125" style="56" customWidth="1"/>
    <col min="3094" max="3094" width="5.83203125" style="56" customWidth="1"/>
    <col min="3095" max="3095" width="15.5" style="56" customWidth="1"/>
    <col min="3096" max="3336" width="11.5" style="56"/>
    <col min="3337" max="3337" width="0.5" style="56" customWidth="1"/>
    <col min="3338" max="3338" width="3.1640625" style="56" customWidth="1"/>
    <col min="3339" max="3339" width="8.83203125" style="56" customWidth="1"/>
    <col min="3340" max="3340" width="14.83203125" style="56" customWidth="1"/>
    <col min="3341" max="3342" width="6.5" style="56" customWidth="1"/>
    <col min="3343" max="3343" width="14.83203125" style="56" customWidth="1"/>
    <col min="3344" max="3345" width="11.5" style="56" customWidth="1"/>
    <col min="3346" max="3346" width="6.1640625" style="56" customWidth="1"/>
    <col min="3347" max="3347" width="22.83203125" style="56" customWidth="1"/>
    <col min="3348" max="3348" width="11.5" style="56" customWidth="1"/>
    <col min="3349" max="3349" width="13.83203125" style="56" customWidth="1"/>
    <col min="3350" max="3350" width="5.83203125" style="56" customWidth="1"/>
    <col min="3351" max="3351" width="15.5" style="56" customWidth="1"/>
    <col min="3352" max="3592" width="11.5" style="56"/>
    <col min="3593" max="3593" width="0.5" style="56" customWidth="1"/>
    <col min="3594" max="3594" width="3.1640625" style="56" customWidth="1"/>
    <col min="3595" max="3595" width="8.83203125" style="56" customWidth="1"/>
    <col min="3596" max="3596" width="14.83203125" style="56" customWidth="1"/>
    <col min="3597" max="3598" width="6.5" style="56" customWidth="1"/>
    <col min="3599" max="3599" width="14.83203125" style="56" customWidth="1"/>
    <col min="3600" max="3601" width="11.5" style="56" customWidth="1"/>
    <col min="3602" max="3602" width="6.1640625" style="56" customWidth="1"/>
    <col min="3603" max="3603" width="22.83203125" style="56" customWidth="1"/>
    <col min="3604" max="3604" width="11.5" style="56" customWidth="1"/>
    <col min="3605" max="3605" width="13.83203125" style="56" customWidth="1"/>
    <col min="3606" max="3606" width="5.83203125" style="56" customWidth="1"/>
    <col min="3607" max="3607" width="15.5" style="56" customWidth="1"/>
    <col min="3608" max="3848" width="11.5" style="56"/>
    <col min="3849" max="3849" width="0.5" style="56" customWidth="1"/>
    <col min="3850" max="3850" width="3.1640625" style="56" customWidth="1"/>
    <col min="3851" max="3851" width="8.83203125" style="56" customWidth="1"/>
    <col min="3852" max="3852" width="14.83203125" style="56" customWidth="1"/>
    <col min="3853" max="3854" width="6.5" style="56" customWidth="1"/>
    <col min="3855" max="3855" width="14.83203125" style="56" customWidth="1"/>
    <col min="3856" max="3857" width="11.5" style="56" customWidth="1"/>
    <col min="3858" max="3858" width="6.1640625" style="56" customWidth="1"/>
    <col min="3859" max="3859" width="22.83203125" style="56" customWidth="1"/>
    <col min="3860" max="3860" width="11.5" style="56" customWidth="1"/>
    <col min="3861" max="3861" width="13.83203125" style="56" customWidth="1"/>
    <col min="3862" max="3862" width="5.83203125" style="56" customWidth="1"/>
    <col min="3863" max="3863" width="15.5" style="56" customWidth="1"/>
    <col min="3864" max="4104" width="11.5" style="56"/>
    <col min="4105" max="4105" width="0.5" style="56" customWidth="1"/>
    <col min="4106" max="4106" width="3.1640625" style="56" customWidth="1"/>
    <col min="4107" max="4107" width="8.83203125" style="56" customWidth="1"/>
    <col min="4108" max="4108" width="14.83203125" style="56" customWidth="1"/>
    <col min="4109" max="4110" width="6.5" style="56" customWidth="1"/>
    <col min="4111" max="4111" width="14.83203125" style="56" customWidth="1"/>
    <col min="4112" max="4113" width="11.5" style="56" customWidth="1"/>
    <col min="4114" max="4114" width="6.1640625" style="56" customWidth="1"/>
    <col min="4115" max="4115" width="22.83203125" style="56" customWidth="1"/>
    <col min="4116" max="4116" width="11.5" style="56" customWidth="1"/>
    <col min="4117" max="4117" width="13.83203125" style="56" customWidth="1"/>
    <col min="4118" max="4118" width="5.83203125" style="56" customWidth="1"/>
    <col min="4119" max="4119" width="15.5" style="56" customWidth="1"/>
    <col min="4120" max="4360" width="11.5" style="56"/>
    <col min="4361" max="4361" width="0.5" style="56" customWidth="1"/>
    <col min="4362" max="4362" width="3.1640625" style="56" customWidth="1"/>
    <col min="4363" max="4363" width="8.83203125" style="56" customWidth="1"/>
    <col min="4364" max="4364" width="14.83203125" style="56" customWidth="1"/>
    <col min="4365" max="4366" width="6.5" style="56" customWidth="1"/>
    <col min="4367" max="4367" width="14.83203125" style="56" customWidth="1"/>
    <col min="4368" max="4369" width="11.5" style="56" customWidth="1"/>
    <col min="4370" max="4370" width="6.1640625" style="56" customWidth="1"/>
    <col min="4371" max="4371" width="22.83203125" style="56" customWidth="1"/>
    <col min="4372" max="4372" width="11.5" style="56" customWidth="1"/>
    <col min="4373" max="4373" width="13.83203125" style="56" customWidth="1"/>
    <col min="4374" max="4374" width="5.83203125" style="56" customWidth="1"/>
    <col min="4375" max="4375" width="15.5" style="56" customWidth="1"/>
    <col min="4376" max="4616" width="11.5" style="56"/>
    <col min="4617" max="4617" width="0.5" style="56" customWidth="1"/>
    <col min="4618" max="4618" width="3.1640625" style="56" customWidth="1"/>
    <col min="4619" max="4619" width="8.83203125" style="56" customWidth="1"/>
    <col min="4620" max="4620" width="14.83203125" style="56" customWidth="1"/>
    <col min="4621" max="4622" width="6.5" style="56" customWidth="1"/>
    <col min="4623" max="4623" width="14.83203125" style="56" customWidth="1"/>
    <col min="4624" max="4625" width="11.5" style="56" customWidth="1"/>
    <col min="4626" max="4626" width="6.1640625" style="56" customWidth="1"/>
    <col min="4627" max="4627" width="22.83203125" style="56" customWidth="1"/>
    <col min="4628" max="4628" width="11.5" style="56" customWidth="1"/>
    <col min="4629" max="4629" width="13.83203125" style="56" customWidth="1"/>
    <col min="4630" max="4630" width="5.83203125" style="56" customWidth="1"/>
    <col min="4631" max="4631" width="15.5" style="56" customWidth="1"/>
    <col min="4632" max="4872" width="11.5" style="56"/>
    <col min="4873" max="4873" width="0.5" style="56" customWidth="1"/>
    <col min="4874" max="4874" width="3.1640625" style="56" customWidth="1"/>
    <col min="4875" max="4875" width="8.83203125" style="56" customWidth="1"/>
    <col min="4876" max="4876" width="14.83203125" style="56" customWidth="1"/>
    <col min="4877" max="4878" width="6.5" style="56" customWidth="1"/>
    <col min="4879" max="4879" width="14.83203125" style="56" customWidth="1"/>
    <col min="4880" max="4881" width="11.5" style="56" customWidth="1"/>
    <col min="4882" max="4882" width="6.1640625" style="56" customWidth="1"/>
    <col min="4883" max="4883" width="22.83203125" style="56" customWidth="1"/>
    <col min="4884" max="4884" width="11.5" style="56" customWidth="1"/>
    <col min="4885" max="4885" width="13.83203125" style="56" customWidth="1"/>
    <col min="4886" max="4886" width="5.83203125" style="56" customWidth="1"/>
    <col min="4887" max="4887" width="15.5" style="56" customWidth="1"/>
    <col min="4888" max="5128" width="11.5" style="56"/>
    <col min="5129" max="5129" width="0.5" style="56" customWidth="1"/>
    <col min="5130" max="5130" width="3.1640625" style="56" customWidth="1"/>
    <col min="5131" max="5131" width="8.83203125" style="56" customWidth="1"/>
    <col min="5132" max="5132" width="14.83203125" style="56" customWidth="1"/>
    <col min="5133" max="5134" width="6.5" style="56" customWidth="1"/>
    <col min="5135" max="5135" width="14.83203125" style="56" customWidth="1"/>
    <col min="5136" max="5137" width="11.5" style="56" customWidth="1"/>
    <col min="5138" max="5138" width="6.1640625" style="56" customWidth="1"/>
    <col min="5139" max="5139" width="22.83203125" style="56" customWidth="1"/>
    <col min="5140" max="5140" width="11.5" style="56" customWidth="1"/>
    <col min="5141" max="5141" width="13.83203125" style="56" customWidth="1"/>
    <col min="5142" max="5142" width="5.83203125" style="56" customWidth="1"/>
    <col min="5143" max="5143" width="15.5" style="56" customWidth="1"/>
    <col min="5144" max="5384" width="11.5" style="56"/>
    <col min="5385" max="5385" width="0.5" style="56" customWidth="1"/>
    <col min="5386" max="5386" width="3.1640625" style="56" customWidth="1"/>
    <col min="5387" max="5387" width="8.83203125" style="56" customWidth="1"/>
    <col min="5388" max="5388" width="14.83203125" style="56" customWidth="1"/>
    <col min="5389" max="5390" width="6.5" style="56" customWidth="1"/>
    <col min="5391" max="5391" width="14.83203125" style="56" customWidth="1"/>
    <col min="5392" max="5393" width="11.5" style="56" customWidth="1"/>
    <col min="5394" max="5394" width="6.1640625" style="56" customWidth="1"/>
    <col min="5395" max="5395" width="22.83203125" style="56" customWidth="1"/>
    <col min="5396" max="5396" width="11.5" style="56" customWidth="1"/>
    <col min="5397" max="5397" width="13.83203125" style="56" customWidth="1"/>
    <col min="5398" max="5398" width="5.83203125" style="56" customWidth="1"/>
    <col min="5399" max="5399" width="15.5" style="56" customWidth="1"/>
    <col min="5400" max="5640" width="11.5" style="56"/>
    <col min="5641" max="5641" width="0.5" style="56" customWidth="1"/>
    <col min="5642" max="5642" width="3.1640625" style="56" customWidth="1"/>
    <col min="5643" max="5643" width="8.83203125" style="56" customWidth="1"/>
    <col min="5644" max="5644" width="14.83203125" style="56" customWidth="1"/>
    <col min="5645" max="5646" width="6.5" style="56" customWidth="1"/>
    <col min="5647" max="5647" width="14.83203125" style="56" customWidth="1"/>
    <col min="5648" max="5649" width="11.5" style="56" customWidth="1"/>
    <col min="5650" max="5650" width="6.1640625" style="56" customWidth="1"/>
    <col min="5651" max="5651" width="22.83203125" style="56" customWidth="1"/>
    <col min="5652" max="5652" width="11.5" style="56" customWidth="1"/>
    <col min="5653" max="5653" width="13.83203125" style="56" customWidth="1"/>
    <col min="5654" max="5654" width="5.83203125" style="56" customWidth="1"/>
    <col min="5655" max="5655" width="15.5" style="56" customWidth="1"/>
    <col min="5656" max="5896" width="11.5" style="56"/>
    <col min="5897" max="5897" width="0.5" style="56" customWidth="1"/>
    <col min="5898" max="5898" width="3.1640625" style="56" customWidth="1"/>
    <col min="5899" max="5899" width="8.83203125" style="56" customWidth="1"/>
    <col min="5900" max="5900" width="14.83203125" style="56" customWidth="1"/>
    <col min="5901" max="5902" width="6.5" style="56" customWidth="1"/>
    <col min="5903" max="5903" width="14.83203125" style="56" customWidth="1"/>
    <col min="5904" max="5905" width="11.5" style="56" customWidth="1"/>
    <col min="5906" max="5906" width="6.1640625" style="56" customWidth="1"/>
    <col min="5907" max="5907" width="22.83203125" style="56" customWidth="1"/>
    <col min="5908" max="5908" width="11.5" style="56" customWidth="1"/>
    <col min="5909" max="5909" width="13.83203125" style="56" customWidth="1"/>
    <col min="5910" max="5910" width="5.83203125" style="56" customWidth="1"/>
    <col min="5911" max="5911" width="15.5" style="56" customWidth="1"/>
    <col min="5912" max="6152" width="11.5" style="56"/>
    <col min="6153" max="6153" width="0.5" style="56" customWidth="1"/>
    <col min="6154" max="6154" width="3.1640625" style="56" customWidth="1"/>
    <col min="6155" max="6155" width="8.83203125" style="56" customWidth="1"/>
    <col min="6156" max="6156" width="14.83203125" style="56" customWidth="1"/>
    <col min="6157" max="6158" width="6.5" style="56" customWidth="1"/>
    <col min="6159" max="6159" width="14.83203125" style="56" customWidth="1"/>
    <col min="6160" max="6161" width="11.5" style="56" customWidth="1"/>
    <col min="6162" max="6162" width="6.1640625" style="56" customWidth="1"/>
    <col min="6163" max="6163" width="22.83203125" style="56" customWidth="1"/>
    <col min="6164" max="6164" width="11.5" style="56" customWidth="1"/>
    <col min="6165" max="6165" width="13.83203125" style="56" customWidth="1"/>
    <col min="6166" max="6166" width="5.83203125" style="56" customWidth="1"/>
    <col min="6167" max="6167" width="15.5" style="56" customWidth="1"/>
    <col min="6168" max="6408" width="11.5" style="56"/>
    <col min="6409" max="6409" width="0.5" style="56" customWidth="1"/>
    <col min="6410" max="6410" width="3.1640625" style="56" customWidth="1"/>
    <col min="6411" max="6411" width="8.83203125" style="56" customWidth="1"/>
    <col min="6412" max="6412" width="14.83203125" style="56" customWidth="1"/>
    <col min="6413" max="6414" width="6.5" style="56" customWidth="1"/>
    <col min="6415" max="6415" width="14.83203125" style="56" customWidth="1"/>
    <col min="6416" max="6417" width="11.5" style="56" customWidth="1"/>
    <col min="6418" max="6418" width="6.1640625" style="56" customWidth="1"/>
    <col min="6419" max="6419" width="22.83203125" style="56" customWidth="1"/>
    <col min="6420" max="6420" width="11.5" style="56" customWidth="1"/>
    <col min="6421" max="6421" width="13.83203125" style="56" customWidth="1"/>
    <col min="6422" max="6422" width="5.83203125" style="56" customWidth="1"/>
    <col min="6423" max="6423" width="15.5" style="56" customWidth="1"/>
    <col min="6424" max="6664" width="11.5" style="56"/>
    <col min="6665" max="6665" width="0.5" style="56" customWidth="1"/>
    <col min="6666" max="6666" width="3.1640625" style="56" customWidth="1"/>
    <col min="6667" max="6667" width="8.83203125" style="56" customWidth="1"/>
    <col min="6668" max="6668" width="14.83203125" style="56" customWidth="1"/>
    <col min="6669" max="6670" width="6.5" style="56" customWidth="1"/>
    <col min="6671" max="6671" width="14.83203125" style="56" customWidth="1"/>
    <col min="6672" max="6673" width="11.5" style="56" customWidth="1"/>
    <col min="6674" max="6674" width="6.1640625" style="56" customWidth="1"/>
    <col min="6675" max="6675" width="22.83203125" style="56" customWidth="1"/>
    <col min="6676" max="6676" width="11.5" style="56" customWidth="1"/>
    <col min="6677" max="6677" width="13.83203125" style="56" customWidth="1"/>
    <col min="6678" max="6678" width="5.83203125" style="56" customWidth="1"/>
    <col min="6679" max="6679" width="15.5" style="56" customWidth="1"/>
    <col min="6680" max="6920" width="11.5" style="56"/>
    <col min="6921" max="6921" width="0.5" style="56" customWidth="1"/>
    <col min="6922" max="6922" width="3.1640625" style="56" customWidth="1"/>
    <col min="6923" max="6923" width="8.83203125" style="56" customWidth="1"/>
    <col min="6924" max="6924" width="14.83203125" style="56" customWidth="1"/>
    <col min="6925" max="6926" width="6.5" style="56" customWidth="1"/>
    <col min="6927" max="6927" width="14.83203125" style="56" customWidth="1"/>
    <col min="6928" max="6929" width="11.5" style="56" customWidth="1"/>
    <col min="6930" max="6930" width="6.1640625" style="56" customWidth="1"/>
    <col min="6931" max="6931" width="22.83203125" style="56" customWidth="1"/>
    <col min="6932" max="6932" width="11.5" style="56" customWidth="1"/>
    <col min="6933" max="6933" width="13.83203125" style="56" customWidth="1"/>
    <col min="6934" max="6934" width="5.83203125" style="56" customWidth="1"/>
    <col min="6935" max="6935" width="15.5" style="56" customWidth="1"/>
    <col min="6936" max="7176" width="11.5" style="56"/>
    <col min="7177" max="7177" width="0.5" style="56" customWidth="1"/>
    <col min="7178" max="7178" width="3.1640625" style="56" customWidth="1"/>
    <col min="7179" max="7179" width="8.83203125" style="56" customWidth="1"/>
    <col min="7180" max="7180" width="14.83203125" style="56" customWidth="1"/>
    <col min="7181" max="7182" width="6.5" style="56" customWidth="1"/>
    <col min="7183" max="7183" width="14.83203125" style="56" customWidth="1"/>
    <col min="7184" max="7185" width="11.5" style="56" customWidth="1"/>
    <col min="7186" max="7186" width="6.1640625" style="56" customWidth="1"/>
    <col min="7187" max="7187" width="22.83203125" style="56" customWidth="1"/>
    <col min="7188" max="7188" width="11.5" style="56" customWidth="1"/>
    <col min="7189" max="7189" width="13.83203125" style="56" customWidth="1"/>
    <col min="7190" max="7190" width="5.83203125" style="56" customWidth="1"/>
    <col min="7191" max="7191" width="15.5" style="56" customWidth="1"/>
    <col min="7192" max="7432" width="11.5" style="56"/>
    <col min="7433" max="7433" width="0.5" style="56" customWidth="1"/>
    <col min="7434" max="7434" width="3.1640625" style="56" customWidth="1"/>
    <col min="7435" max="7435" width="8.83203125" style="56" customWidth="1"/>
    <col min="7436" max="7436" width="14.83203125" style="56" customWidth="1"/>
    <col min="7437" max="7438" width="6.5" style="56" customWidth="1"/>
    <col min="7439" max="7439" width="14.83203125" style="56" customWidth="1"/>
    <col min="7440" max="7441" width="11.5" style="56" customWidth="1"/>
    <col min="7442" max="7442" width="6.1640625" style="56" customWidth="1"/>
    <col min="7443" max="7443" width="22.83203125" style="56" customWidth="1"/>
    <col min="7444" max="7444" width="11.5" style="56" customWidth="1"/>
    <col min="7445" max="7445" width="13.83203125" style="56" customWidth="1"/>
    <col min="7446" max="7446" width="5.83203125" style="56" customWidth="1"/>
    <col min="7447" max="7447" width="15.5" style="56" customWidth="1"/>
    <col min="7448" max="7688" width="11.5" style="56"/>
    <col min="7689" max="7689" width="0.5" style="56" customWidth="1"/>
    <col min="7690" max="7690" width="3.1640625" style="56" customWidth="1"/>
    <col min="7691" max="7691" width="8.83203125" style="56" customWidth="1"/>
    <col min="7692" max="7692" width="14.83203125" style="56" customWidth="1"/>
    <col min="7693" max="7694" width="6.5" style="56" customWidth="1"/>
    <col min="7695" max="7695" width="14.83203125" style="56" customWidth="1"/>
    <col min="7696" max="7697" width="11.5" style="56" customWidth="1"/>
    <col min="7698" max="7698" width="6.1640625" style="56" customWidth="1"/>
    <col min="7699" max="7699" width="22.83203125" style="56" customWidth="1"/>
    <col min="7700" max="7700" width="11.5" style="56" customWidth="1"/>
    <col min="7701" max="7701" width="13.83203125" style="56" customWidth="1"/>
    <col min="7702" max="7702" width="5.83203125" style="56" customWidth="1"/>
    <col min="7703" max="7703" width="15.5" style="56" customWidth="1"/>
    <col min="7704" max="7944" width="11.5" style="56"/>
    <col min="7945" max="7945" width="0.5" style="56" customWidth="1"/>
    <col min="7946" max="7946" width="3.1640625" style="56" customWidth="1"/>
    <col min="7947" max="7947" width="8.83203125" style="56" customWidth="1"/>
    <col min="7948" max="7948" width="14.83203125" style="56" customWidth="1"/>
    <col min="7949" max="7950" width="6.5" style="56" customWidth="1"/>
    <col min="7951" max="7951" width="14.83203125" style="56" customWidth="1"/>
    <col min="7952" max="7953" width="11.5" style="56" customWidth="1"/>
    <col min="7954" max="7954" width="6.1640625" style="56" customWidth="1"/>
    <col min="7955" max="7955" width="22.83203125" style="56" customWidth="1"/>
    <col min="7956" max="7956" width="11.5" style="56" customWidth="1"/>
    <col min="7957" max="7957" width="13.83203125" style="56" customWidth="1"/>
    <col min="7958" max="7958" width="5.83203125" style="56" customWidth="1"/>
    <col min="7959" max="7959" width="15.5" style="56" customWidth="1"/>
    <col min="7960" max="8200" width="11.5" style="56"/>
    <col min="8201" max="8201" width="0.5" style="56" customWidth="1"/>
    <col min="8202" max="8202" width="3.1640625" style="56" customWidth="1"/>
    <col min="8203" max="8203" width="8.83203125" style="56" customWidth="1"/>
    <col min="8204" max="8204" width="14.83203125" style="56" customWidth="1"/>
    <col min="8205" max="8206" width="6.5" style="56" customWidth="1"/>
    <col min="8207" max="8207" width="14.83203125" style="56" customWidth="1"/>
    <col min="8208" max="8209" width="11.5" style="56" customWidth="1"/>
    <col min="8210" max="8210" width="6.1640625" style="56" customWidth="1"/>
    <col min="8211" max="8211" width="22.83203125" style="56" customWidth="1"/>
    <col min="8212" max="8212" width="11.5" style="56" customWidth="1"/>
    <col min="8213" max="8213" width="13.83203125" style="56" customWidth="1"/>
    <col min="8214" max="8214" width="5.83203125" style="56" customWidth="1"/>
    <col min="8215" max="8215" width="15.5" style="56" customWidth="1"/>
    <col min="8216" max="8456" width="11.5" style="56"/>
    <col min="8457" max="8457" width="0.5" style="56" customWidth="1"/>
    <col min="8458" max="8458" width="3.1640625" style="56" customWidth="1"/>
    <col min="8459" max="8459" width="8.83203125" style="56" customWidth="1"/>
    <col min="8460" max="8460" width="14.83203125" style="56" customWidth="1"/>
    <col min="8461" max="8462" width="6.5" style="56" customWidth="1"/>
    <col min="8463" max="8463" width="14.83203125" style="56" customWidth="1"/>
    <col min="8464" max="8465" width="11.5" style="56" customWidth="1"/>
    <col min="8466" max="8466" width="6.1640625" style="56" customWidth="1"/>
    <col min="8467" max="8467" width="22.83203125" style="56" customWidth="1"/>
    <col min="8468" max="8468" width="11.5" style="56" customWidth="1"/>
    <col min="8469" max="8469" width="13.83203125" style="56" customWidth="1"/>
    <col min="8470" max="8470" width="5.83203125" style="56" customWidth="1"/>
    <col min="8471" max="8471" width="15.5" style="56" customWidth="1"/>
    <col min="8472" max="8712" width="11.5" style="56"/>
    <col min="8713" max="8713" width="0.5" style="56" customWidth="1"/>
    <col min="8714" max="8714" width="3.1640625" style="56" customWidth="1"/>
    <col min="8715" max="8715" width="8.83203125" style="56" customWidth="1"/>
    <col min="8716" max="8716" width="14.83203125" style="56" customWidth="1"/>
    <col min="8717" max="8718" width="6.5" style="56" customWidth="1"/>
    <col min="8719" max="8719" width="14.83203125" style="56" customWidth="1"/>
    <col min="8720" max="8721" width="11.5" style="56" customWidth="1"/>
    <col min="8722" max="8722" width="6.1640625" style="56" customWidth="1"/>
    <col min="8723" max="8723" width="22.83203125" style="56" customWidth="1"/>
    <col min="8724" max="8724" width="11.5" style="56" customWidth="1"/>
    <col min="8725" max="8725" width="13.83203125" style="56" customWidth="1"/>
    <col min="8726" max="8726" width="5.83203125" style="56" customWidth="1"/>
    <col min="8727" max="8727" width="15.5" style="56" customWidth="1"/>
    <col min="8728" max="8968" width="11.5" style="56"/>
    <col min="8969" max="8969" width="0.5" style="56" customWidth="1"/>
    <col min="8970" max="8970" width="3.1640625" style="56" customWidth="1"/>
    <col min="8971" max="8971" width="8.83203125" style="56" customWidth="1"/>
    <col min="8972" max="8972" width="14.83203125" style="56" customWidth="1"/>
    <col min="8973" max="8974" width="6.5" style="56" customWidth="1"/>
    <col min="8975" max="8975" width="14.83203125" style="56" customWidth="1"/>
    <col min="8976" max="8977" width="11.5" style="56" customWidth="1"/>
    <col min="8978" max="8978" width="6.1640625" style="56" customWidth="1"/>
    <col min="8979" max="8979" width="22.83203125" style="56" customWidth="1"/>
    <col min="8980" max="8980" width="11.5" style="56" customWidth="1"/>
    <col min="8981" max="8981" width="13.83203125" style="56" customWidth="1"/>
    <col min="8982" max="8982" width="5.83203125" style="56" customWidth="1"/>
    <col min="8983" max="8983" width="15.5" style="56" customWidth="1"/>
    <col min="8984" max="9224" width="11.5" style="56"/>
    <col min="9225" max="9225" width="0.5" style="56" customWidth="1"/>
    <col min="9226" max="9226" width="3.1640625" style="56" customWidth="1"/>
    <col min="9227" max="9227" width="8.83203125" style="56" customWidth="1"/>
    <col min="9228" max="9228" width="14.83203125" style="56" customWidth="1"/>
    <col min="9229" max="9230" width="6.5" style="56" customWidth="1"/>
    <col min="9231" max="9231" width="14.83203125" style="56" customWidth="1"/>
    <col min="9232" max="9233" width="11.5" style="56" customWidth="1"/>
    <col min="9234" max="9234" width="6.1640625" style="56" customWidth="1"/>
    <col min="9235" max="9235" width="22.83203125" style="56" customWidth="1"/>
    <col min="9236" max="9236" width="11.5" style="56" customWidth="1"/>
    <col min="9237" max="9237" width="13.83203125" style="56" customWidth="1"/>
    <col min="9238" max="9238" width="5.83203125" style="56" customWidth="1"/>
    <col min="9239" max="9239" width="15.5" style="56" customWidth="1"/>
    <col min="9240" max="9480" width="11.5" style="56"/>
    <col min="9481" max="9481" width="0.5" style="56" customWidth="1"/>
    <col min="9482" max="9482" width="3.1640625" style="56" customWidth="1"/>
    <col min="9483" max="9483" width="8.83203125" style="56" customWidth="1"/>
    <col min="9484" max="9484" width="14.83203125" style="56" customWidth="1"/>
    <col min="9485" max="9486" width="6.5" style="56" customWidth="1"/>
    <col min="9487" max="9487" width="14.83203125" style="56" customWidth="1"/>
    <col min="9488" max="9489" width="11.5" style="56" customWidth="1"/>
    <col min="9490" max="9490" width="6.1640625" style="56" customWidth="1"/>
    <col min="9491" max="9491" width="22.83203125" style="56" customWidth="1"/>
    <col min="9492" max="9492" width="11.5" style="56" customWidth="1"/>
    <col min="9493" max="9493" width="13.83203125" style="56" customWidth="1"/>
    <col min="9494" max="9494" width="5.83203125" style="56" customWidth="1"/>
    <col min="9495" max="9495" width="15.5" style="56" customWidth="1"/>
    <col min="9496" max="9736" width="11.5" style="56"/>
    <col min="9737" max="9737" width="0.5" style="56" customWidth="1"/>
    <col min="9738" max="9738" width="3.1640625" style="56" customWidth="1"/>
    <col min="9739" max="9739" width="8.83203125" style="56" customWidth="1"/>
    <col min="9740" max="9740" width="14.83203125" style="56" customWidth="1"/>
    <col min="9741" max="9742" width="6.5" style="56" customWidth="1"/>
    <col min="9743" max="9743" width="14.83203125" style="56" customWidth="1"/>
    <col min="9744" max="9745" width="11.5" style="56" customWidth="1"/>
    <col min="9746" max="9746" width="6.1640625" style="56" customWidth="1"/>
    <col min="9747" max="9747" width="22.83203125" style="56" customWidth="1"/>
    <col min="9748" max="9748" width="11.5" style="56" customWidth="1"/>
    <col min="9749" max="9749" width="13.83203125" style="56" customWidth="1"/>
    <col min="9750" max="9750" width="5.83203125" style="56" customWidth="1"/>
    <col min="9751" max="9751" width="15.5" style="56" customWidth="1"/>
    <col min="9752" max="9992" width="11.5" style="56"/>
    <col min="9993" max="9993" width="0.5" style="56" customWidth="1"/>
    <col min="9994" max="9994" width="3.1640625" style="56" customWidth="1"/>
    <col min="9995" max="9995" width="8.83203125" style="56" customWidth="1"/>
    <col min="9996" max="9996" width="14.83203125" style="56" customWidth="1"/>
    <col min="9997" max="9998" width="6.5" style="56" customWidth="1"/>
    <col min="9999" max="9999" width="14.83203125" style="56" customWidth="1"/>
    <col min="10000" max="10001" width="11.5" style="56" customWidth="1"/>
    <col min="10002" max="10002" width="6.1640625" style="56" customWidth="1"/>
    <col min="10003" max="10003" width="22.83203125" style="56" customWidth="1"/>
    <col min="10004" max="10004" width="11.5" style="56" customWidth="1"/>
    <col min="10005" max="10005" width="13.83203125" style="56" customWidth="1"/>
    <col min="10006" max="10006" width="5.83203125" style="56" customWidth="1"/>
    <col min="10007" max="10007" width="15.5" style="56" customWidth="1"/>
    <col min="10008" max="10248" width="11.5" style="56"/>
    <col min="10249" max="10249" width="0.5" style="56" customWidth="1"/>
    <col min="10250" max="10250" width="3.1640625" style="56" customWidth="1"/>
    <col min="10251" max="10251" width="8.83203125" style="56" customWidth="1"/>
    <col min="10252" max="10252" width="14.83203125" style="56" customWidth="1"/>
    <col min="10253" max="10254" width="6.5" style="56" customWidth="1"/>
    <col min="10255" max="10255" width="14.83203125" style="56" customWidth="1"/>
    <col min="10256" max="10257" width="11.5" style="56" customWidth="1"/>
    <col min="10258" max="10258" width="6.1640625" style="56" customWidth="1"/>
    <col min="10259" max="10259" width="22.83203125" style="56" customWidth="1"/>
    <col min="10260" max="10260" width="11.5" style="56" customWidth="1"/>
    <col min="10261" max="10261" width="13.83203125" style="56" customWidth="1"/>
    <col min="10262" max="10262" width="5.83203125" style="56" customWidth="1"/>
    <col min="10263" max="10263" width="15.5" style="56" customWidth="1"/>
    <col min="10264" max="10504" width="11.5" style="56"/>
    <col min="10505" max="10505" width="0.5" style="56" customWidth="1"/>
    <col min="10506" max="10506" width="3.1640625" style="56" customWidth="1"/>
    <col min="10507" max="10507" width="8.83203125" style="56" customWidth="1"/>
    <col min="10508" max="10508" width="14.83203125" style="56" customWidth="1"/>
    <col min="10509" max="10510" width="6.5" style="56" customWidth="1"/>
    <col min="10511" max="10511" width="14.83203125" style="56" customWidth="1"/>
    <col min="10512" max="10513" width="11.5" style="56" customWidth="1"/>
    <col min="10514" max="10514" width="6.1640625" style="56" customWidth="1"/>
    <col min="10515" max="10515" width="22.83203125" style="56" customWidth="1"/>
    <col min="10516" max="10516" width="11.5" style="56" customWidth="1"/>
    <col min="10517" max="10517" width="13.83203125" style="56" customWidth="1"/>
    <col min="10518" max="10518" width="5.83203125" style="56" customWidth="1"/>
    <col min="10519" max="10519" width="15.5" style="56" customWidth="1"/>
    <col min="10520" max="10760" width="11.5" style="56"/>
    <col min="10761" max="10761" width="0.5" style="56" customWidth="1"/>
    <col min="10762" max="10762" width="3.1640625" style="56" customWidth="1"/>
    <col min="10763" max="10763" width="8.83203125" style="56" customWidth="1"/>
    <col min="10764" max="10764" width="14.83203125" style="56" customWidth="1"/>
    <col min="10765" max="10766" width="6.5" style="56" customWidth="1"/>
    <col min="10767" max="10767" width="14.83203125" style="56" customWidth="1"/>
    <col min="10768" max="10769" width="11.5" style="56" customWidth="1"/>
    <col min="10770" max="10770" width="6.1640625" style="56" customWidth="1"/>
    <col min="10771" max="10771" width="22.83203125" style="56" customWidth="1"/>
    <col min="10772" max="10772" width="11.5" style="56" customWidth="1"/>
    <col min="10773" max="10773" width="13.83203125" style="56" customWidth="1"/>
    <col min="10774" max="10774" width="5.83203125" style="56" customWidth="1"/>
    <col min="10775" max="10775" width="15.5" style="56" customWidth="1"/>
    <col min="10776" max="11016" width="11.5" style="56"/>
    <col min="11017" max="11017" width="0.5" style="56" customWidth="1"/>
    <col min="11018" max="11018" width="3.1640625" style="56" customWidth="1"/>
    <col min="11019" max="11019" width="8.83203125" style="56" customWidth="1"/>
    <col min="11020" max="11020" width="14.83203125" style="56" customWidth="1"/>
    <col min="11021" max="11022" width="6.5" style="56" customWidth="1"/>
    <col min="11023" max="11023" width="14.83203125" style="56" customWidth="1"/>
    <col min="11024" max="11025" width="11.5" style="56" customWidth="1"/>
    <col min="11026" max="11026" width="6.1640625" style="56" customWidth="1"/>
    <col min="11027" max="11027" width="22.83203125" style="56" customWidth="1"/>
    <col min="11028" max="11028" width="11.5" style="56" customWidth="1"/>
    <col min="11029" max="11029" width="13.83203125" style="56" customWidth="1"/>
    <col min="11030" max="11030" width="5.83203125" style="56" customWidth="1"/>
    <col min="11031" max="11031" width="15.5" style="56" customWidth="1"/>
    <col min="11032" max="11272" width="11.5" style="56"/>
    <col min="11273" max="11273" width="0.5" style="56" customWidth="1"/>
    <col min="11274" max="11274" width="3.1640625" style="56" customWidth="1"/>
    <col min="11275" max="11275" width="8.83203125" style="56" customWidth="1"/>
    <col min="11276" max="11276" width="14.83203125" style="56" customWidth="1"/>
    <col min="11277" max="11278" width="6.5" style="56" customWidth="1"/>
    <col min="11279" max="11279" width="14.83203125" style="56" customWidth="1"/>
    <col min="11280" max="11281" width="11.5" style="56" customWidth="1"/>
    <col min="11282" max="11282" width="6.1640625" style="56" customWidth="1"/>
    <col min="11283" max="11283" width="22.83203125" style="56" customWidth="1"/>
    <col min="11284" max="11284" width="11.5" style="56" customWidth="1"/>
    <col min="11285" max="11285" width="13.83203125" style="56" customWidth="1"/>
    <col min="11286" max="11286" width="5.83203125" style="56" customWidth="1"/>
    <col min="11287" max="11287" width="15.5" style="56" customWidth="1"/>
    <col min="11288" max="11528" width="11.5" style="56"/>
    <col min="11529" max="11529" width="0.5" style="56" customWidth="1"/>
    <col min="11530" max="11530" width="3.1640625" style="56" customWidth="1"/>
    <col min="11531" max="11531" width="8.83203125" style="56" customWidth="1"/>
    <col min="11532" max="11532" width="14.83203125" style="56" customWidth="1"/>
    <col min="11533" max="11534" width="6.5" style="56" customWidth="1"/>
    <col min="11535" max="11535" width="14.83203125" style="56" customWidth="1"/>
    <col min="11536" max="11537" width="11.5" style="56" customWidth="1"/>
    <col min="11538" max="11538" width="6.1640625" style="56" customWidth="1"/>
    <col min="11539" max="11539" width="22.83203125" style="56" customWidth="1"/>
    <col min="11540" max="11540" width="11.5" style="56" customWidth="1"/>
    <col min="11541" max="11541" width="13.83203125" style="56" customWidth="1"/>
    <col min="11542" max="11542" width="5.83203125" style="56" customWidth="1"/>
    <col min="11543" max="11543" width="15.5" style="56" customWidth="1"/>
    <col min="11544" max="11784" width="11.5" style="56"/>
    <col min="11785" max="11785" width="0.5" style="56" customWidth="1"/>
    <col min="11786" max="11786" width="3.1640625" style="56" customWidth="1"/>
    <col min="11787" max="11787" width="8.83203125" style="56" customWidth="1"/>
    <col min="11788" max="11788" width="14.83203125" style="56" customWidth="1"/>
    <col min="11789" max="11790" width="6.5" style="56" customWidth="1"/>
    <col min="11791" max="11791" width="14.83203125" style="56" customWidth="1"/>
    <col min="11792" max="11793" width="11.5" style="56" customWidth="1"/>
    <col min="11794" max="11794" width="6.1640625" style="56" customWidth="1"/>
    <col min="11795" max="11795" width="22.83203125" style="56" customWidth="1"/>
    <col min="11796" max="11796" width="11.5" style="56" customWidth="1"/>
    <col min="11797" max="11797" width="13.83203125" style="56" customWidth="1"/>
    <col min="11798" max="11798" width="5.83203125" style="56" customWidth="1"/>
    <col min="11799" max="11799" width="15.5" style="56" customWidth="1"/>
    <col min="11800" max="12040" width="11.5" style="56"/>
    <col min="12041" max="12041" width="0.5" style="56" customWidth="1"/>
    <col min="12042" max="12042" width="3.1640625" style="56" customWidth="1"/>
    <col min="12043" max="12043" width="8.83203125" style="56" customWidth="1"/>
    <col min="12044" max="12044" width="14.83203125" style="56" customWidth="1"/>
    <col min="12045" max="12046" width="6.5" style="56" customWidth="1"/>
    <col min="12047" max="12047" width="14.83203125" style="56" customWidth="1"/>
    <col min="12048" max="12049" width="11.5" style="56" customWidth="1"/>
    <col min="12050" max="12050" width="6.1640625" style="56" customWidth="1"/>
    <col min="12051" max="12051" width="22.83203125" style="56" customWidth="1"/>
    <col min="12052" max="12052" width="11.5" style="56" customWidth="1"/>
    <col min="12053" max="12053" width="13.83203125" style="56" customWidth="1"/>
    <col min="12054" max="12054" width="5.83203125" style="56" customWidth="1"/>
    <col min="12055" max="12055" width="15.5" style="56" customWidth="1"/>
    <col min="12056" max="12296" width="11.5" style="56"/>
    <col min="12297" max="12297" width="0.5" style="56" customWidth="1"/>
    <col min="12298" max="12298" width="3.1640625" style="56" customWidth="1"/>
    <col min="12299" max="12299" width="8.83203125" style="56" customWidth="1"/>
    <col min="12300" max="12300" width="14.83203125" style="56" customWidth="1"/>
    <col min="12301" max="12302" width="6.5" style="56" customWidth="1"/>
    <col min="12303" max="12303" width="14.83203125" style="56" customWidth="1"/>
    <col min="12304" max="12305" width="11.5" style="56" customWidth="1"/>
    <col min="12306" max="12306" width="6.1640625" style="56" customWidth="1"/>
    <col min="12307" max="12307" width="22.83203125" style="56" customWidth="1"/>
    <col min="12308" max="12308" width="11.5" style="56" customWidth="1"/>
    <col min="12309" max="12309" width="13.83203125" style="56" customWidth="1"/>
    <col min="12310" max="12310" width="5.83203125" style="56" customWidth="1"/>
    <col min="12311" max="12311" width="15.5" style="56" customWidth="1"/>
    <col min="12312" max="12552" width="11.5" style="56"/>
    <col min="12553" max="12553" width="0.5" style="56" customWidth="1"/>
    <col min="12554" max="12554" width="3.1640625" style="56" customWidth="1"/>
    <col min="12555" max="12555" width="8.83203125" style="56" customWidth="1"/>
    <col min="12556" max="12556" width="14.83203125" style="56" customWidth="1"/>
    <col min="12557" max="12558" width="6.5" style="56" customWidth="1"/>
    <col min="12559" max="12559" width="14.83203125" style="56" customWidth="1"/>
    <col min="12560" max="12561" width="11.5" style="56" customWidth="1"/>
    <col min="12562" max="12562" width="6.1640625" style="56" customWidth="1"/>
    <col min="12563" max="12563" width="22.83203125" style="56" customWidth="1"/>
    <col min="12564" max="12564" width="11.5" style="56" customWidth="1"/>
    <col min="12565" max="12565" width="13.83203125" style="56" customWidth="1"/>
    <col min="12566" max="12566" width="5.83203125" style="56" customWidth="1"/>
    <col min="12567" max="12567" width="15.5" style="56" customWidth="1"/>
    <col min="12568" max="12808" width="11.5" style="56"/>
    <col min="12809" max="12809" width="0.5" style="56" customWidth="1"/>
    <col min="12810" max="12810" width="3.1640625" style="56" customWidth="1"/>
    <col min="12811" max="12811" width="8.83203125" style="56" customWidth="1"/>
    <col min="12812" max="12812" width="14.83203125" style="56" customWidth="1"/>
    <col min="12813" max="12814" width="6.5" style="56" customWidth="1"/>
    <col min="12815" max="12815" width="14.83203125" style="56" customWidth="1"/>
    <col min="12816" max="12817" width="11.5" style="56" customWidth="1"/>
    <col min="12818" max="12818" width="6.1640625" style="56" customWidth="1"/>
    <col min="12819" max="12819" width="22.83203125" style="56" customWidth="1"/>
    <col min="12820" max="12820" width="11.5" style="56" customWidth="1"/>
    <col min="12821" max="12821" width="13.83203125" style="56" customWidth="1"/>
    <col min="12822" max="12822" width="5.83203125" style="56" customWidth="1"/>
    <col min="12823" max="12823" width="15.5" style="56" customWidth="1"/>
    <col min="12824" max="13064" width="11.5" style="56"/>
    <col min="13065" max="13065" width="0.5" style="56" customWidth="1"/>
    <col min="13066" max="13066" width="3.1640625" style="56" customWidth="1"/>
    <col min="13067" max="13067" width="8.83203125" style="56" customWidth="1"/>
    <col min="13068" max="13068" width="14.83203125" style="56" customWidth="1"/>
    <col min="13069" max="13070" width="6.5" style="56" customWidth="1"/>
    <col min="13071" max="13071" width="14.83203125" style="56" customWidth="1"/>
    <col min="13072" max="13073" width="11.5" style="56" customWidth="1"/>
    <col min="13074" max="13074" width="6.1640625" style="56" customWidth="1"/>
    <col min="13075" max="13075" width="22.83203125" style="56" customWidth="1"/>
    <col min="13076" max="13076" width="11.5" style="56" customWidth="1"/>
    <col min="13077" max="13077" width="13.83203125" style="56" customWidth="1"/>
    <col min="13078" max="13078" width="5.83203125" style="56" customWidth="1"/>
    <col min="13079" max="13079" width="15.5" style="56" customWidth="1"/>
    <col min="13080" max="13320" width="11.5" style="56"/>
    <col min="13321" max="13321" width="0.5" style="56" customWidth="1"/>
    <col min="13322" max="13322" width="3.1640625" style="56" customWidth="1"/>
    <col min="13323" max="13323" width="8.83203125" style="56" customWidth="1"/>
    <col min="13324" max="13324" width="14.83203125" style="56" customWidth="1"/>
    <col min="13325" max="13326" width="6.5" style="56" customWidth="1"/>
    <col min="13327" max="13327" width="14.83203125" style="56" customWidth="1"/>
    <col min="13328" max="13329" width="11.5" style="56" customWidth="1"/>
    <col min="13330" max="13330" width="6.1640625" style="56" customWidth="1"/>
    <col min="13331" max="13331" width="22.83203125" style="56" customWidth="1"/>
    <col min="13332" max="13332" width="11.5" style="56" customWidth="1"/>
    <col min="13333" max="13333" width="13.83203125" style="56" customWidth="1"/>
    <col min="13334" max="13334" width="5.83203125" style="56" customWidth="1"/>
    <col min="13335" max="13335" width="15.5" style="56" customWidth="1"/>
    <col min="13336" max="13576" width="11.5" style="56"/>
    <col min="13577" max="13577" width="0.5" style="56" customWidth="1"/>
    <col min="13578" max="13578" width="3.1640625" style="56" customWidth="1"/>
    <col min="13579" max="13579" width="8.83203125" style="56" customWidth="1"/>
    <col min="13580" max="13580" width="14.83203125" style="56" customWidth="1"/>
    <col min="13581" max="13582" width="6.5" style="56" customWidth="1"/>
    <col min="13583" max="13583" width="14.83203125" style="56" customWidth="1"/>
    <col min="13584" max="13585" width="11.5" style="56" customWidth="1"/>
    <col min="13586" max="13586" width="6.1640625" style="56" customWidth="1"/>
    <col min="13587" max="13587" width="22.83203125" style="56" customWidth="1"/>
    <col min="13588" max="13588" width="11.5" style="56" customWidth="1"/>
    <col min="13589" max="13589" width="13.83203125" style="56" customWidth="1"/>
    <col min="13590" max="13590" width="5.83203125" style="56" customWidth="1"/>
    <col min="13591" max="13591" width="15.5" style="56" customWidth="1"/>
    <col min="13592" max="13832" width="11.5" style="56"/>
    <col min="13833" max="13833" width="0.5" style="56" customWidth="1"/>
    <col min="13834" max="13834" width="3.1640625" style="56" customWidth="1"/>
    <col min="13835" max="13835" width="8.83203125" style="56" customWidth="1"/>
    <col min="13836" max="13836" width="14.83203125" style="56" customWidth="1"/>
    <col min="13837" max="13838" width="6.5" style="56" customWidth="1"/>
    <col min="13839" max="13839" width="14.83203125" style="56" customWidth="1"/>
    <col min="13840" max="13841" width="11.5" style="56" customWidth="1"/>
    <col min="13842" max="13842" width="6.1640625" style="56" customWidth="1"/>
    <col min="13843" max="13843" width="22.83203125" style="56" customWidth="1"/>
    <col min="13844" max="13844" width="11.5" style="56" customWidth="1"/>
    <col min="13845" max="13845" width="13.83203125" style="56" customWidth="1"/>
    <col min="13846" max="13846" width="5.83203125" style="56" customWidth="1"/>
    <col min="13847" max="13847" width="15.5" style="56" customWidth="1"/>
    <col min="13848" max="14088" width="11.5" style="56"/>
    <col min="14089" max="14089" width="0.5" style="56" customWidth="1"/>
    <col min="14090" max="14090" width="3.1640625" style="56" customWidth="1"/>
    <col min="14091" max="14091" width="8.83203125" style="56" customWidth="1"/>
    <col min="14092" max="14092" width="14.83203125" style="56" customWidth="1"/>
    <col min="14093" max="14094" width="6.5" style="56" customWidth="1"/>
    <col min="14095" max="14095" width="14.83203125" style="56" customWidth="1"/>
    <col min="14096" max="14097" width="11.5" style="56" customWidth="1"/>
    <col min="14098" max="14098" width="6.1640625" style="56" customWidth="1"/>
    <col min="14099" max="14099" width="22.83203125" style="56" customWidth="1"/>
    <col min="14100" max="14100" width="11.5" style="56" customWidth="1"/>
    <col min="14101" max="14101" width="13.83203125" style="56" customWidth="1"/>
    <col min="14102" max="14102" width="5.83203125" style="56" customWidth="1"/>
    <col min="14103" max="14103" width="15.5" style="56" customWidth="1"/>
    <col min="14104" max="14344" width="11.5" style="56"/>
    <col min="14345" max="14345" width="0.5" style="56" customWidth="1"/>
    <col min="14346" max="14346" width="3.1640625" style="56" customWidth="1"/>
    <col min="14347" max="14347" width="8.83203125" style="56" customWidth="1"/>
    <col min="14348" max="14348" width="14.83203125" style="56" customWidth="1"/>
    <col min="14349" max="14350" width="6.5" style="56" customWidth="1"/>
    <col min="14351" max="14351" width="14.83203125" style="56" customWidth="1"/>
    <col min="14352" max="14353" width="11.5" style="56" customWidth="1"/>
    <col min="14354" max="14354" width="6.1640625" style="56" customWidth="1"/>
    <col min="14355" max="14355" width="22.83203125" style="56" customWidth="1"/>
    <col min="14356" max="14356" width="11.5" style="56" customWidth="1"/>
    <col min="14357" max="14357" width="13.83203125" style="56" customWidth="1"/>
    <col min="14358" max="14358" width="5.83203125" style="56" customWidth="1"/>
    <col min="14359" max="14359" width="15.5" style="56" customWidth="1"/>
    <col min="14360" max="14600" width="11.5" style="56"/>
    <col min="14601" max="14601" width="0.5" style="56" customWidth="1"/>
    <col min="14602" max="14602" width="3.1640625" style="56" customWidth="1"/>
    <col min="14603" max="14603" width="8.83203125" style="56" customWidth="1"/>
    <col min="14604" max="14604" width="14.83203125" style="56" customWidth="1"/>
    <col min="14605" max="14606" width="6.5" style="56" customWidth="1"/>
    <col min="14607" max="14607" width="14.83203125" style="56" customWidth="1"/>
    <col min="14608" max="14609" width="11.5" style="56" customWidth="1"/>
    <col min="14610" max="14610" width="6.1640625" style="56" customWidth="1"/>
    <col min="14611" max="14611" width="22.83203125" style="56" customWidth="1"/>
    <col min="14612" max="14612" width="11.5" style="56" customWidth="1"/>
    <col min="14613" max="14613" width="13.83203125" style="56" customWidth="1"/>
    <col min="14614" max="14614" width="5.83203125" style="56" customWidth="1"/>
    <col min="14615" max="14615" width="15.5" style="56" customWidth="1"/>
    <col min="14616" max="14856" width="11.5" style="56"/>
    <col min="14857" max="14857" width="0.5" style="56" customWidth="1"/>
    <col min="14858" max="14858" width="3.1640625" style="56" customWidth="1"/>
    <col min="14859" max="14859" width="8.83203125" style="56" customWidth="1"/>
    <col min="14860" max="14860" width="14.83203125" style="56" customWidth="1"/>
    <col min="14861" max="14862" width="6.5" style="56" customWidth="1"/>
    <col min="14863" max="14863" width="14.83203125" style="56" customWidth="1"/>
    <col min="14864" max="14865" width="11.5" style="56" customWidth="1"/>
    <col min="14866" max="14866" width="6.1640625" style="56" customWidth="1"/>
    <col min="14867" max="14867" width="22.83203125" style="56" customWidth="1"/>
    <col min="14868" max="14868" width="11.5" style="56" customWidth="1"/>
    <col min="14869" max="14869" width="13.83203125" style="56" customWidth="1"/>
    <col min="14870" max="14870" width="5.83203125" style="56" customWidth="1"/>
    <col min="14871" max="14871" width="15.5" style="56" customWidth="1"/>
    <col min="14872" max="15112" width="11.5" style="56"/>
    <col min="15113" max="15113" width="0.5" style="56" customWidth="1"/>
    <col min="15114" max="15114" width="3.1640625" style="56" customWidth="1"/>
    <col min="15115" max="15115" width="8.83203125" style="56" customWidth="1"/>
    <col min="15116" max="15116" width="14.83203125" style="56" customWidth="1"/>
    <col min="15117" max="15118" width="6.5" style="56" customWidth="1"/>
    <col min="15119" max="15119" width="14.83203125" style="56" customWidth="1"/>
    <col min="15120" max="15121" width="11.5" style="56" customWidth="1"/>
    <col min="15122" max="15122" width="6.1640625" style="56" customWidth="1"/>
    <col min="15123" max="15123" width="22.83203125" style="56" customWidth="1"/>
    <col min="15124" max="15124" width="11.5" style="56" customWidth="1"/>
    <col min="15125" max="15125" width="13.83203125" style="56" customWidth="1"/>
    <col min="15126" max="15126" width="5.83203125" style="56" customWidth="1"/>
    <col min="15127" max="15127" width="15.5" style="56" customWidth="1"/>
    <col min="15128" max="15368" width="11.5" style="56"/>
    <col min="15369" max="15369" width="0.5" style="56" customWidth="1"/>
    <col min="15370" max="15370" width="3.1640625" style="56" customWidth="1"/>
    <col min="15371" max="15371" width="8.83203125" style="56" customWidth="1"/>
    <col min="15372" max="15372" width="14.83203125" style="56" customWidth="1"/>
    <col min="15373" max="15374" width="6.5" style="56" customWidth="1"/>
    <col min="15375" max="15375" width="14.83203125" style="56" customWidth="1"/>
    <col min="15376" max="15377" width="11.5" style="56" customWidth="1"/>
    <col min="15378" max="15378" width="6.1640625" style="56" customWidth="1"/>
    <col min="15379" max="15379" width="22.83203125" style="56" customWidth="1"/>
    <col min="15380" max="15380" width="11.5" style="56" customWidth="1"/>
    <col min="15381" max="15381" width="13.83203125" style="56" customWidth="1"/>
    <col min="15382" max="15382" width="5.83203125" style="56" customWidth="1"/>
    <col min="15383" max="15383" width="15.5" style="56" customWidth="1"/>
    <col min="15384" max="15624" width="11.5" style="56"/>
    <col min="15625" max="15625" width="0.5" style="56" customWidth="1"/>
    <col min="15626" max="15626" width="3.1640625" style="56" customWidth="1"/>
    <col min="15627" max="15627" width="8.83203125" style="56" customWidth="1"/>
    <col min="15628" max="15628" width="14.83203125" style="56" customWidth="1"/>
    <col min="15629" max="15630" width="6.5" style="56" customWidth="1"/>
    <col min="15631" max="15631" width="14.83203125" style="56" customWidth="1"/>
    <col min="15632" max="15633" width="11.5" style="56" customWidth="1"/>
    <col min="15634" max="15634" width="6.1640625" style="56" customWidth="1"/>
    <col min="15635" max="15635" width="22.83203125" style="56" customWidth="1"/>
    <col min="15636" max="15636" width="11.5" style="56" customWidth="1"/>
    <col min="15637" max="15637" width="13.83203125" style="56" customWidth="1"/>
    <col min="15638" max="15638" width="5.83203125" style="56" customWidth="1"/>
    <col min="15639" max="15639" width="15.5" style="56" customWidth="1"/>
    <col min="15640" max="15880" width="11.5" style="56"/>
    <col min="15881" max="15881" width="0.5" style="56" customWidth="1"/>
    <col min="15882" max="15882" width="3.1640625" style="56" customWidth="1"/>
    <col min="15883" max="15883" width="8.83203125" style="56" customWidth="1"/>
    <col min="15884" max="15884" width="14.83203125" style="56" customWidth="1"/>
    <col min="15885" max="15886" width="6.5" style="56" customWidth="1"/>
    <col min="15887" max="15887" width="14.83203125" style="56" customWidth="1"/>
    <col min="15888" max="15889" width="11.5" style="56" customWidth="1"/>
    <col min="15890" max="15890" width="6.1640625" style="56" customWidth="1"/>
    <col min="15891" max="15891" width="22.83203125" style="56" customWidth="1"/>
    <col min="15892" max="15892" width="11.5" style="56" customWidth="1"/>
    <col min="15893" max="15893" width="13.83203125" style="56" customWidth="1"/>
    <col min="15894" max="15894" width="5.83203125" style="56" customWidth="1"/>
    <col min="15895" max="15895" width="15.5" style="56" customWidth="1"/>
    <col min="15896" max="16136" width="11.5" style="56"/>
    <col min="16137" max="16137" width="0.5" style="56" customWidth="1"/>
    <col min="16138" max="16138" width="3.1640625" style="56" customWidth="1"/>
    <col min="16139" max="16139" width="8.83203125" style="56" customWidth="1"/>
    <col min="16140" max="16140" width="14.83203125" style="56" customWidth="1"/>
    <col min="16141" max="16142" width="6.5" style="56" customWidth="1"/>
    <col min="16143" max="16143" width="14.83203125" style="56" customWidth="1"/>
    <col min="16144" max="16145" width="11.5" style="56" customWidth="1"/>
    <col min="16146" max="16146" width="6.1640625" style="56" customWidth="1"/>
    <col min="16147" max="16147" width="22.83203125" style="56" customWidth="1"/>
    <col min="16148" max="16148" width="11.5" style="56" customWidth="1"/>
    <col min="16149" max="16149" width="13.83203125" style="56" customWidth="1"/>
    <col min="16150" max="16150" width="5.83203125" style="56" customWidth="1"/>
    <col min="16151" max="16151" width="15.5" style="56" customWidth="1"/>
    <col min="16152" max="16384" width="11.5" style="56"/>
  </cols>
  <sheetData>
    <row r="1" spans="1:34" ht="8" customHeight="1">
      <c r="Q1" s="91"/>
      <c r="R1" s="91"/>
    </row>
    <row r="2" spans="1:34" ht="5" customHeight="1" thickBot="1">
      <c r="Q2" s="89"/>
      <c r="R2" s="89"/>
    </row>
    <row r="3" spans="1:34" s="57" customFormat="1" ht="17" customHeight="1">
      <c r="A3" s="472"/>
      <c r="B3" s="576" t="s">
        <v>115</v>
      </c>
      <c r="C3" s="577"/>
      <c r="D3" s="577"/>
      <c r="E3" s="577"/>
      <c r="F3" s="577"/>
      <c r="G3" s="577"/>
      <c r="H3" s="577"/>
      <c r="I3" s="577"/>
      <c r="J3" s="578"/>
      <c r="K3" s="95"/>
      <c r="L3" s="58"/>
      <c r="M3" s="58"/>
      <c r="N3" s="92"/>
      <c r="O3" s="93"/>
      <c r="Q3" s="90"/>
      <c r="R3" s="90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301"/>
    </row>
    <row r="4" spans="1:34" ht="6" customHeight="1" thickBot="1">
      <c r="B4" s="579"/>
      <c r="C4" s="580"/>
      <c r="D4" s="580"/>
      <c r="E4" s="580"/>
      <c r="F4" s="580"/>
      <c r="G4" s="580"/>
      <c r="H4" s="580"/>
      <c r="I4" s="580"/>
      <c r="J4" s="581"/>
      <c r="K4" s="95"/>
      <c r="L4" s="58"/>
      <c r="M4" s="58"/>
      <c r="N4" s="93"/>
      <c r="O4" s="93"/>
      <c r="P4" s="58"/>
      <c r="Q4" s="59"/>
      <c r="R4" s="59"/>
    </row>
    <row r="5" spans="1:34" ht="15" customHeight="1">
      <c r="B5" s="582" t="s">
        <v>283</v>
      </c>
      <c r="C5" s="583"/>
      <c r="D5" s="583"/>
      <c r="E5" s="583"/>
      <c r="F5" s="583" t="s">
        <v>27</v>
      </c>
      <c r="G5" s="583"/>
      <c r="H5" s="583"/>
      <c r="I5" s="583"/>
      <c r="J5" s="589"/>
      <c r="K5" s="584" t="s">
        <v>142</v>
      </c>
      <c r="L5" s="585"/>
      <c r="M5" s="585"/>
      <c r="N5" s="585" t="s">
        <v>365</v>
      </c>
      <c r="O5" s="585"/>
      <c r="P5" s="588"/>
      <c r="Q5" s="345" t="s">
        <v>143</v>
      </c>
      <c r="R5" s="92"/>
    </row>
    <row r="6" spans="1:34" ht="17" customHeight="1" thickBot="1">
      <c r="B6" s="592" t="str">
        <f>IF(Start!$D$4="","Dr. Max Mustermann",Start!$D$4)</f>
        <v>Dr. Max Mustermann</v>
      </c>
      <c r="C6" s="593"/>
      <c r="D6" s="593"/>
      <c r="E6" s="593"/>
      <c r="F6" s="593" t="str">
        <f>Start!$D$8</f>
        <v>Ärztin/Arzt in Ausbildung_BSO1994</v>
      </c>
      <c r="G6" s="593"/>
      <c r="H6" s="593"/>
      <c r="I6" s="593"/>
      <c r="J6" s="594"/>
      <c r="K6" s="590">
        <f>IF(SUM(N14:O43,L13:L43,AA51:AD51,AA52:AB52)=0,Datenblatt!J110,SUM(N14:O43,L13:L43,AA51:AD51,AA52:AB52,AH51:AH52))</f>
        <v>201.60000000000002</v>
      </c>
      <c r="L6" s="591"/>
      <c r="M6" s="591"/>
      <c r="N6" s="586">
        <f>COUNTIF(D14:E43,"ND")+COUNTIF(D14:E43,"ND12,5")</f>
        <v>0</v>
      </c>
      <c r="O6" s="586"/>
      <c r="P6" s="587"/>
      <c r="Q6" s="346">
        <f>IF(OR(Start!$D$10="",Start!$E$10=""),"",IF(Start!$D$8=Gehalt!$K$32,VLOOKUP($H$8,Gehalt!$A$4:$I$22,3,FALSE),IF(Start!$D$8=Gehalt!$K$33,VLOOKUP($H$8,Gehalt!$A$4:$I$22,4,FALSE),IF(Start!$D$8=Gehalt!$K$34,VLOOKUP($H$8,Gehalt!$A$4:$I$22,5,FALSE),IF(Start!$D$8=Gehalt!$K$35,VLOOKUP($H$8,Gehalt!$A$4:$I$22,6,FALSE),IF(Start!$D$8=Gehalt!$K$36,VLOOKUP($H$8,Gehalt!$A$4:$I$22,7,FALSE),IF(Start!$D$8=Gehalt!$K$37,VLOOKUP($H$8,Gehalt!$A$4:$I$22,6,FALSE),IF(Start!$D$8=Gehalt!$K$38,VLOOKUP($H$8,Gehalt!$A$4:$I$22,8,FALSE),IF(Start!$D$8=Gehalt!$K$39,VLOOKUP($H$8,Gehalt!$A$4:$I$22,8,FALSE),IF(Start!$D$8=Gehalt!$K$40,VLOOKUP($H$8,Gehalt!$A$4:$I$22,9,FALSE),IF(Start!$D$8=Gehalt!$K$41,VLOOKUP($H$8,Gehalt!$A$4:$I$22,9,FALSE))))))))))))</f>
        <v>5365.31</v>
      </c>
      <c r="R6" s="92"/>
      <c r="S6" s="92"/>
    </row>
    <row r="7" spans="1:34" ht="15" customHeight="1">
      <c r="B7" s="582" t="s">
        <v>26</v>
      </c>
      <c r="C7" s="583"/>
      <c r="D7" s="108" t="s">
        <v>25</v>
      </c>
      <c r="E7" s="583" t="s">
        <v>43</v>
      </c>
      <c r="F7" s="583"/>
      <c r="G7" s="583"/>
      <c r="H7" s="583" t="s">
        <v>91</v>
      </c>
      <c r="I7" s="583"/>
      <c r="J7" s="589"/>
      <c r="K7" s="584" t="s">
        <v>80</v>
      </c>
      <c r="L7" s="585"/>
      <c r="M7" s="585"/>
      <c r="N7" s="585" t="s">
        <v>81</v>
      </c>
      <c r="O7" s="585"/>
      <c r="P7" s="588"/>
      <c r="Q7" s="345" t="s">
        <v>144</v>
      </c>
      <c r="R7" s="191"/>
      <c r="S7" s="101"/>
      <c r="U7" s="242"/>
      <c r="AA7" s="242"/>
    </row>
    <row r="8" spans="1:34" s="59" customFormat="1" ht="17" customHeight="1" thickBot="1">
      <c r="A8" s="471"/>
      <c r="B8" s="595">
        <f>DATE($D$8,11,1)</f>
        <v>45597</v>
      </c>
      <c r="C8" s="596"/>
      <c r="D8" s="349">
        <f>Start!$D$2</f>
        <v>2024</v>
      </c>
      <c r="E8" s="601">
        <f>($K$6)/((VLOOKUP($B$8,Datenblatt!$A$100:$G$112,7,FALSE)*0.2)-(0.2*$D$59))</f>
        <v>48</v>
      </c>
      <c r="F8" s="601"/>
      <c r="G8" s="601"/>
      <c r="H8" s="602">
        <f>IF(OR(Start!$D$10="",Start!$E$10=""),"",IF(($C$14&lt;Start!$D$10),Start!$E$10,VLOOKUP(Start!$E$10,Gehalt!$A$4:$B$22,2,FALSE)))</f>
        <v>4</v>
      </c>
      <c r="I8" s="602"/>
      <c r="J8" s="603"/>
      <c r="K8" s="597">
        <f>SUM(M13:M43)</f>
        <v>0</v>
      </c>
      <c r="L8" s="598"/>
      <c r="M8" s="598"/>
      <c r="N8" s="591">
        <f>VLOOKUP($B$8,Datenblatt!A100:F112,6,FALSE)</f>
        <v>160</v>
      </c>
      <c r="O8" s="591"/>
      <c r="P8" s="599"/>
      <c r="Q8" s="346">
        <f ca="1">IF($L$50="","",SUM($L$50:$L$59))</f>
        <v>5365.31</v>
      </c>
      <c r="R8" s="100"/>
      <c r="S8" s="101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302"/>
    </row>
    <row r="9" spans="1:34" s="60" customFormat="1" ht="4.25" customHeight="1">
      <c r="A9" s="473"/>
      <c r="B9" s="559" t="s">
        <v>116</v>
      </c>
      <c r="C9" s="560"/>
      <c r="D9" s="565" t="s">
        <v>124</v>
      </c>
      <c r="E9" s="565" t="s">
        <v>174</v>
      </c>
      <c r="F9" s="568" t="s">
        <v>79</v>
      </c>
      <c r="G9" s="569"/>
      <c r="H9" s="568" t="s">
        <v>109</v>
      </c>
      <c r="I9" s="569"/>
      <c r="J9" s="565" t="s">
        <v>117</v>
      </c>
      <c r="K9" s="556" t="s">
        <v>82</v>
      </c>
      <c r="L9" s="556" t="s">
        <v>130</v>
      </c>
      <c r="M9" s="556" t="s">
        <v>114</v>
      </c>
      <c r="N9" s="556" t="s">
        <v>79</v>
      </c>
      <c r="O9" s="556" t="s">
        <v>109</v>
      </c>
      <c r="P9" s="553" t="s">
        <v>134</v>
      </c>
      <c r="Q9" s="535" t="s">
        <v>125</v>
      </c>
      <c r="R9" s="537" t="s">
        <v>173</v>
      </c>
      <c r="S9" s="573" t="s">
        <v>165</v>
      </c>
      <c r="T9" s="233"/>
      <c r="U9" s="234"/>
      <c r="V9" s="234"/>
      <c r="W9" s="234"/>
      <c r="X9" s="234"/>
      <c r="Y9" s="234"/>
      <c r="Z9" s="233"/>
      <c r="AA9" s="234"/>
      <c r="AB9" s="234"/>
      <c r="AC9" s="234"/>
      <c r="AD9" s="234"/>
      <c r="AE9" s="234"/>
      <c r="AF9" s="234"/>
      <c r="AG9" s="234"/>
      <c r="AH9" s="301"/>
    </row>
    <row r="10" spans="1:34" ht="14.5" customHeight="1">
      <c r="B10" s="561"/>
      <c r="C10" s="562"/>
      <c r="D10" s="566"/>
      <c r="E10" s="566"/>
      <c r="F10" s="570"/>
      <c r="G10" s="571"/>
      <c r="H10" s="570"/>
      <c r="I10" s="571"/>
      <c r="J10" s="566"/>
      <c r="K10" s="557"/>
      <c r="L10" s="557"/>
      <c r="M10" s="557"/>
      <c r="N10" s="557"/>
      <c r="O10" s="557"/>
      <c r="P10" s="554"/>
      <c r="Q10" s="535"/>
      <c r="R10" s="535"/>
      <c r="S10" s="574"/>
      <c r="T10" s="233"/>
      <c r="U10" s="572" t="s">
        <v>108</v>
      </c>
      <c r="V10" s="572"/>
      <c r="W10" s="572"/>
      <c r="X10" s="572"/>
      <c r="Y10" s="572"/>
      <c r="Z10" s="249"/>
      <c r="AA10" s="572" t="s">
        <v>168</v>
      </c>
      <c r="AB10" s="572"/>
      <c r="AC10" s="572"/>
      <c r="AD10" s="572"/>
      <c r="AE10" s="572"/>
      <c r="AF10" s="552" t="s">
        <v>232</v>
      </c>
      <c r="AG10" s="552" t="s">
        <v>233</v>
      </c>
    </row>
    <row r="11" spans="1:34" ht="13" customHeight="1" thickBot="1">
      <c r="B11" s="563"/>
      <c r="C11" s="564"/>
      <c r="D11" s="567"/>
      <c r="E11" s="567"/>
      <c r="F11" s="97" t="s">
        <v>14</v>
      </c>
      <c r="G11" s="98" t="s">
        <v>15</v>
      </c>
      <c r="H11" s="97" t="s">
        <v>14</v>
      </c>
      <c r="I11" s="98" t="s">
        <v>15</v>
      </c>
      <c r="J11" s="567"/>
      <c r="K11" s="558"/>
      <c r="L11" s="558"/>
      <c r="M11" s="558"/>
      <c r="N11" s="558"/>
      <c r="O11" s="558"/>
      <c r="P11" s="555"/>
      <c r="Q11" s="536"/>
      <c r="R11" s="536"/>
      <c r="S11" s="575"/>
      <c r="T11" s="109"/>
      <c r="U11" s="245" t="s">
        <v>105</v>
      </c>
      <c r="V11" s="246" t="s">
        <v>106</v>
      </c>
      <c r="W11" s="247" t="s">
        <v>107</v>
      </c>
      <c r="X11" s="246" t="s">
        <v>176</v>
      </c>
      <c r="Y11" s="246" t="s">
        <v>175</v>
      </c>
      <c r="Z11" s="248"/>
      <c r="AA11" s="245" t="s">
        <v>105</v>
      </c>
      <c r="AB11" s="246" t="s">
        <v>106</v>
      </c>
      <c r="AC11" s="246" t="s">
        <v>176</v>
      </c>
      <c r="AD11" s="246" t="s">
        <v>175</v>
      </c>
      <c r="AE11" s="245" t="s">
        <v>229</v>
      </c>
      <c r="AF11" s="552"/>
      <c r="AG11" s="552"/>
      <c r="AH11" s="246" t="s">
        <v>262</v>
      </c>
    </row>
    <row r="12" spans="1:34" ht="0.25" customHeight="1">
      <c r="B12" s="61"/>
      <c r="C12" s="61"/>
      <c r="D12" s="62"/>
      <c r="E12" s="65"/>
      <c r="F12" s="63"/>
      <c r="G12" s="63"/>
      <c r="H12" s="63"/>
      <c r="I12" s="63"/>
      <c r="J12" s="64"/>
      <c r="K12" s="64"/>
      <c r="L12" s="65"/>
      <c r="M12" s="65"/>
      <c r="N12" s="65"/>
      <c r="O12" s="65"/>
      <c r="P12" s="65"/>
      <c r="S12" s="96"/>
      <c r="T12" s="235"/>
      <c r="U12" s="236"/>
      <c r="V12" s="236"/>
      <c r="Z12" s="236"/>
      <c r="AA12" s="236"/>
      <c r="AB12" s="236"/>
      <c r="AH12" s="303"/>
    </row>
    <row r="13" spans="1:34" ht="13" customHeight="1">
      <c r="A13" s="89" t="str">
        <f>IF(ISERROR(VLOOKUP(C13,Datenblatt!$B$84:$B$97,1,FALSE)),"","Ft")</f>
        <v/>
      </c>
      <c r="B13" s="397">
        <f t="shared" ref="B13:B43" si="0">C13</f>
        <v>45596</v>
      </c>
      <c r="C13" s="149">
        <f>C14-1</f>
        <v>45596</v>
      </c>
      <c r="D13" s="153" t="str">
        <f>IF(Oktober!D$44="","",Oktober!D$44)</f>
        <v/>
      </c>
      <c r="E13" s="150" t="str">
        <f>IF(Oktober!E$44="","",Oktober!E$44)</f>
        <v/>
      </c>
      <c r="F13" s="150"/>
      <c r="G13" s="150"/>
      <c r="H13" s="150"/>
      <c r="I13" s="150"/>
      <c r="J13" s="252"/>
      <c r="K13" s="252"/>
      <c r="L13" s="170" t="str">
        <f>IF(D13="ND",9,IF(D13="ND12,5",8.5,""))</f>
        <v/>
      </c>
      <c r="M13" s="170" t="str">
        <f>IF(D13="ND",9,IF(D13="ND12,5",8.5,""))</f>
        <v/>
      </c>
      <c r="N13" s="600" t="str">
        <f>IF(OR(D13="ND",D13="ND12,5"),"Übertrag Vormonat","")</f>
        <v/>
      </c>
      <c r="O13" s="600"/>
      <c r="P13" s="193"/>
      <c r="Q13" s="174"/>
      <c r="R13" s="151"/>
      <c r="S13" s="152"/>
      <c r="T13" s="205"/>
      <c r="U13" s="206"/>
      <c r="V13" s="207"/>
      <c r="W13" s="207"/>
      <c r="X13" s="253"/>
      <c r="Y13" s="253"/>
      <c r="Z13" s="111" t="str">
        <f t="shared" ref="Z13" si="1">IF(E13="ND",25,IF(E13="ND12,5",12.5,""))</f>
        <v/>
      </c>
      <c r="AA13" s="206"/>
      <c r="AB13" s="208"/>
      <c r="AC13" s="208"/>
      <c r="AD13" s="208"/>
      <c r="AE13" s="208"/>
      <c r="AF13" s="112"/>
      <c r="AG13" s="112"/>
      <c r="AH13" s="304"/>
    </row>
    <row r="14" spans="1:34" ht="13" customHeight="1">
      <c r="A14" s="89" t="str">
        <f>IF(ISERROR(VLOOKUP(C14,Datenblatt!$B$84:$B$97,1,FALSE)),"","Ft")</f>
        <v>Ft</v>
      </c>
      <c r="B14" s="84">
        <f t="shared" si="0"/>
        <v>45597</v>
      </c>
      <c r="C14" s="85">
        <f>DATE($D$8,MONTH(B$8),1)</f>
        <v>45597</v>
      </c>
      <c r="D14" s="67"/>
      <c r="E14" s="67"/>
      <c r="F14" s="68"/>
      <c r="G14" s="69"/>
      <c r="H14" s="68"/>
      <c r="I14" s="68"/>
      <c r="J14" s="99"/>
      <c r="K14" s="21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20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10" t="str">
        <f>IF(D14="","",IF(E13="ND",VLOOKUP(D14,Datenblatt!$A$2:$C$31,3,FALSE)-1,IF(E13="ND12,5",VLOOKUP(D14,Datenblatt!$A$2:$C$31,3,FALSE)-0.5,VLOOKUP(D14,Datenblatt!$A$2:$C$31,3,FALSE))))</f>
        <v/>
      </c>
      <c r="N14" s="211" t="str">
        <f t="shared" ref="N14:N43" si="2">IF(AND(F14="",G14=""),"",IF(OR(F14&gt;G14,AND(F14="",G14&gt;0),F14=G14),"ungültig",IF(OR(WEEKDAY(B14,2)=7,A14="Ft"),0,(G14-F14)*24)))</f>
        <v/>
      </c>
      <c r="O14" s="211">
        <f t="shared" ref="O14:O43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86">
        <f>IF(D14="",IF($P$47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$47="Freizeit",(-M14-J14+IF(ISNUMBER(N14),(N14*1.5),0)+IF(ISNUMBER(O14),(O14*2),0)+IF(OR(E14="ND",E14="ND12,5"),2,0)),(-M14-J14)),IF($P$47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103" t="str">
        <f>IF(D14="","",VLOOKUP(D14,Datenblatt!$A$2:$D$31,4,FALSE))</f>
        <v/>
      </c>
      <c r="R14" s="104" t="str">
        <f>IF(E14="","",VLOOKUP(E14,Datenblatt!$E$2:$G$28,2,FALSE))</f>
        <v/>
      </c>
      <c r="S14" s="105"/>
      <c r="T14" s="111">
        <f>IF(K14="",0,K14)</f>
        <v>0</v>
      </c>
      <c r="U14" s="110"/>
      <c r="V14" s="112"/>
      <c r="W14" s="113"/>
      <c r="X14" s="254"/>
      <c r="Y14" s="254"/>
      <c r="Z14" s="111" t="str">
        <f>IF(E14="ND",25,IF(E14="ND12,5",12.5,""))</f>
        <v/>
      </c>
      <c r="AA14" s="214">
        <f>IF(E13="ND",IF(ISERROR(MATCH(D14,Datenblatt!$L$2:$L$18,0)),3,2),IF(E13="ND12,5",IF(ISERROR(MATCH(D14,Datenblatt!$L$2:$L$18,0)),2.5,2),0))</f>
        <v>0</v>
      </c>
      <c r="AB14" s="214">
        <f>IF((IF(E14="ND",14-IF(D14="",0,VLOOKUP(D14,Datenblatt!$L$2:$M$30,2,FALSE)),IF(E14="ND12,5",2,0)))&lt;0,0,(IF(E14="ND",14-IF(D14="",0,VLOOKUP(D14,Datenblatt!$L$2:$M$30,2,FALSE)),IF(E14="ND12,5",2,0))))</f>
        <v>0</v>
      </c>
      <c r="AC14" s="214">
        <f>IF(OR(E14="ND",E14="ND12,5"),2,0)</f>
        <v>0</v>
      </c>
      <c r="AD14" s="214">
        <f>IF(OR(E13="ND",E13="ND12,5"),6,0)</f>
        <v>0</v>
      </c>
      <c r="AE14" s="214">
        <f>IF(AND(E13="ND",AA14&gt;=2),1,IF(AND(E13="ND12,5",AA14&gt;=2),0.5,0))</f>
        <v>0</v>
      </c>
      <c r="AF14" s="112">
        <f>IF(OR(D14="ND",D14="ND12,5"),2-X14,0)</f>
        <v>0</v>
      </c>
      <c r="AG14" s="112">
        <f>IF(OR(D13="ND",D13="ND12,5"),6-Y14,0)</f>
        <v>0</v>
      </c>
      <c r="AH14" s="112">
        <f>IF(E14="",0,VLOOKUP(E14,Datenblatt!$E$2:$G$28,3,FALSE))</f>
        <v>0</v>
      </c>
    </row>
    <row r="15" spans="1:34" ht="13" customHeight="1">
      <c r="A15" s="89" t="str">
        <f>IF(ISERROR(VLOOKUP(C15,Datenblatt!$B$84:$B$97,1,FALSE)),"","Ft")</f>
        <v/>
      </c>
      <c r="B15" s="84">
        <f t="shared" si="0"/>
        <v>45598</v>
      </c>
      <c r="C15" s="86">
        <f t="shared" ref="C15:C41" si="4">C14+1</f>
        <v>45598</v>
      </c>
      <c r="D15" s="67"/>
      <c r="E15" s="67"/>
      <c r="F15" s="68"/>
      <c r="G15" s="69"/>
      <c r="H15" s="68"/>
      <c r="I15" s="68"/>
      <c r="J15" s="99"/>
      <c r="K15" s="21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20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10" t="str">
        <f>IF(D15="","",IF(E14="ND",VLOOKUP(D15,Datenblatt!$A$2:$C$31,3,FALSE)-1,IF(E14="ND12,5",VLOOKUP(D15,Datenblatt!$A$2:$C$31,3,FALSE)-0.5,VLOOKUP(D15,Datenblatt!$A$2:$C$31,3,FALSE))))</f>
        <v/>
      </c>
      <c r="N15" s="211" t="str">
        <f t="shared" si="2"/>
        <v/>
      </c>
      <c r="O15" s="211" t="str">
        <f t="shared" si="3"/>
        <v/>
      </c>
      <c r="P15" s="186">
        <f>IF(D15="",IF($P$47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$47="Freizeit",(-M15-J15+IF(ISNUMBER(N15),(N15*1.5),0)+IF(ISNUMBER(O15),(O15*2),0)+IF(OR(E15="ND",E15="ND12,5"),2,0)),(-M15-J15)),IF($P$47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103" t="str">
        <f>IF(D15="","",VLOOKUP(D15,Datenblatt!$A$2:$D$31,4,FALSE))</f>
        <v/>
      </c>
      <c r="R15" s="104" t="str">
        <f>IF(E15="","",VLOOKUP(E15,Datenblatt!$E$2:$G$28,2,FALSE))</f>
        <v/>
      </c>
      <c r="S15" s="105"/>
      <c r="T15" s="111">
        <f t="shared" ref="T15:T43" si="5">IF(K15="",0,K15)</f>
        <v>0</v>
      </c>
      <c r="U15" s="114">
        <f t="array" ref="U15">IF(T14=0,0,IF(AND((ROW(T14)=MATCH(TRUE,($T$1:$T$43)&gt;0,0)),(D14="ND")),IF(T14&lt;3,T14,3),IF(AND(ROW(T14)=MATCH(TRUE,($T$1:$T$43)&gt;0,0),D14="ND12,5"),IF(T14&lt;2.5,T14,2.5),IF(D14="ND12,5",2.5,(T14-V14-W14)))))</f>
        <v>0</v>
      </c>
      <c r="V15" s="112">
        <f t="array" ref="V15">IF(T15=0,0,IF(AND((ROW(T15)=MATCH(TRUE,($T$1:$T$43)&gt;0,0)),(D15="ND")),IF(AND(T15&gt;11,T15&lt;=25),T15-11,0),IF(AND(ROW(T15)=MATCH(TRUE,($T$1:$T$43)&gt;0,0),D15="ND12,5"),IF(AND(T15&gt;10.5,T15&lt;=12.5),T15-10.5,0),IF(D15="ND12,5",2,IF(T15&lt;14,T15,14)))))</f>
        <v>0</v>
      </c>
      <c r="W15" s="112">
        <f t="array" ref="W15">IF(T15=0,0,IF(AND((ROW(T15)=MATCH(TRUE,($T$1:$T$43)&gt;0,0)),(D15="ND")),IF(AND(T15&gt;3,T15&lt;11),T15-3,IF(T15&gt;=11,8,0)),IF(AND((ROW(T15)=MATCH(TRUE,($T$1:$T$43)&gt;0,0)),(D15="ND12,5")),IF(AND(T15&gt;2.5,T15&lt;10.5),T15-2.5,IF(T15&gt;=10.5,8,0)),IF(D15="ND12,5",8,IF(AND(T15&gt;14,T15&lt;22),(T15-V15),IF(T15&gt;=22,8,0))))))</f>
        <v>0</v>
      </c>
      <c r="X15" s="254">
        <f t="array" ref="X15">IF(T15=0,0,IF((AND((ROW(T15)=MATCH(TRUE,($T$1:$T$43)&gt;0,0)))),IF(W15&gt;=6,W15-6,0),IF(W15&gt;=2,2,W15)))</f>
        <v>0</v>
      </c>
      <c r="Y15" s="254">
        <f t="array" ref="Y15">IF(T14=0,0,(IF((AND((ROW(T14)=MATCH(TRUE,($T$1:$T$43)&gt;0,0)))),IF(W14&gt;=6,6,W14),IF(W14&gt;=2,W14-2,0))))</f>
        <v>0</v>
      </c>
      <c r="Z15" s="111" t="str">
        <f t="shared" ref="Z15:Z43" si="6">IF(E15="ND",25,IF(E15="ND12,5",12.5,""))</f>
        <v/>
      </c>
      <c r="AA15" s="214">
        <f>IF(E14="ND",IF(ISERROR(MATCH(D15,Datenblatt!$L$2:$L$18,0)),3,2),IF(E14="ND12,5",IF(ISERROR(MATCH(D15,Datenblatt!$L$2:$L$18,0)),2.5,2),0))</f>
        <v>0</v>
      </c>
      <c r="AB15" s="214">
        <f>IF((IF(E15="ND",14-IF(D15="",0,VLOOKUP(D15,Datenblatt!$L$2:$M$30,2,FALSE)),IF(E15="ND12,5",2,0)))&lt;0,0,(IF(E15="ND",14-IF(D15="",0,VLOOKUP(D15,Datenblatt!$L$2:$M$30,2,FALSE)),IF(E15="ND12,5",2,0))))</f>
        <v>0</v>
      </c>
      <c r="AC15" s="214">
        <f t="shared" ref="AC15:AC43" si="7">IF(OR(E15="ND",E15="ND12,5"),2,0)</f>
        <v>0</v>
      </c>
      <c r="AD15" s="214">
        <f t="shared" ref="AD15:AD43" si="8">IF(OR(E14="ND",E14="ND12,5"),6,0)</f>
        <v>0</v>
      </c>
      <c r="AE15" s="214">
        <f t="shared" ref="AE15:AE43" si="9">IF(AND(E14="ND",AA15&gt;=2),1,IF(AND(E14="ND12,5",AA15&gt;=2),0.5,0))</f>
        <v>0</v>
      </c>
      <c r="AF15" s="112">
        <f t="shared" ref="AF15:AF43" si="10">IF(OR(D15="ND",D15="ND12,5"),2-X15,0)</f>
        <v>0</v>
      </c>
      <c r="AG15" s="112">
        <f t="shared" ref="AG15:AG43" si="11">IF(OR(D14="ND",D14="ND12,5"),6-Y15,0)</f>
        <v>0</v>
      </c>
      <c r="AH15" s="112">
        <f>IF(E15="",0,VLOOKUP(E15,Datenblatt!$E$2:$G$28,3,FALSE))</f>
        <v>0</v>
      </c>
    </row>
    <row r="16" spans="1:34" ht="13" customHeight="1">
      <c r="A16" s="89" t="str">
        <f>IF(ISERROR(VLOOKUP(C16,Datenblatt!$B$84:$B$97,1,FALSE)),"","Ft")</f>
        <v/>
      </c>
      <c r="B16" s="84">
        <f t="shared" si="0"/>
        <v>45599</v>
      </c>
      <c r="C16" s="86">
        <f t="shared" si="4"/>
        <v>45599</v>
      </c>
      <c r="D16" s="67"/>
      <c r="E16" s="67"/>
      <c r="F16" s="68"/>
      <c r="G16" s="69"/>
      <c r="H16" s="68"/>
      <c r="I16" s="68"/>
      <c r="J16" s="99"/>
      <c r="K16" s="21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20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10" t="str">
        <f>IF(D16="","",IF(E15="ND",VLOOKUP(D16,Datenblatt!$A$2:$C$31,3,FALSE)-1,IF(E15="ND12,5",VLOOKUP(D16,Datenblatt!$A$2:$C$31,3,FALSE)-0.5,VLOOKUP(D16,Datenblatt!$A$2:$C$31,3,FALSE))))</f>
        <v/>
      </c>
      <c r="N16" s="211" t="str">
        <f t="shared" si="2"/>
        <v/>
      </c>
      <c r="O16" s="211">
        <f t="shared" si="3"/>
        <v>0</v>
      </c>
      <c r="P16" s="186">
        <f>IF(D16="",IF($P$47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$47="Freizeit",(-M16-J16+IF(ISNUMBER(N16),(N16*1.5),0)+IF(ISNUMBER(O16),(O16*2),0)+IF(OR(E16="ND",E16="ND12,5"),2,0)),(-M16-J16)),IF($P$47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103" t="str">
        <f>IF(D16="","",VLOOKUP(D16,Datenblatt!$A$2:$D$31,4,FALSE))</f>
        <v/>
      </c>
      <c r="R16" s="104" t="str">
        <f>IF(E16="","",VLOOKUP(E16,Datenblatt!$E$2:$G$28,2,FALSE))</f>
        <v/>
      </c>
      <c r="S16" s="105"/>
      <c r="T16" s="111">
        <f t="shared" si="5"/>
        <v>0</v>
      </c>
      <c r="U16" s="114">
        <f t="array" ref="U16">IF(T15=0,0,IF(AND((ROW(T15)=MATCH(TRUE,($T$1:$T$43)&gt;0,0)),(D15="ND")),IF(T15&lt;3,T15,3),IF(AND(ROW(T15)=MATCH(TRUE,($T$1:$T$43)&gt;0,0),D15="ND12,5"),IF(T15&lt;2.5,T15,2.5),IF(D15="ND12,5",2.5,(T15-V15-W15)))))</f>
        <v>0</v>
      </c>
      <c r="V16" s="112">
        <f t="array" ref="V16">IF(T16=0,0,IF(AND((ROW(T16)=MATCH(TRUE,($T$1:$T$43)&gt;0,0)),(D16="ND")),IF(AND(T16&gt;11,T16&lt;=25),T16-11,0),IF(AND(ROW(T16)=MATCH(TRUE,($T$1:$T$43)&gt;0,0),D16="ND12,5"),IF(AND(T16&gt;10.5,T16&lt;=12.5),T16-10.5,0),IF(D16="ND12,5",2,IF(T16&lt;14,T16,14)))))</f>
        <v>0</v>
      </c>
      <c r="W16" s="112">
        <f t="array" ref="W16">IF(T16=0,0,IF(AND((ROW(T16)=MATCH(TRUE,($T$1:$T$43)&gt;0,0)),(D16="ND")),IF(AND(T16&gt;3,T16&lt;11),T16-3,IF(T16&gt;=11,8,0)),IF(AND((ROW(T16)=MATCH(TRUE,($T$1:$T$43)&gt;0,0)),(D16="ND12,5")),IF(AND(T16&gt;2.5,T16&lt;10.5),T16-2.5,IF(T16&gt;=10.5,8,0)),IF(D16="ND12,5",8,IF(AND(T16&gt;14,T16&lt;22),(T16-V16),IF(T16&gt;=22,8,0))))))</f>
        <v>0</v>
      </c>
      <c r="X16" s="254">
        <f t="array" ref="X16">IF(T16=0,0,IF((AND((ROW(T16)=MATCH(TRUE,($T$1:$T$43)&gt;0,0)))),IF(W16&gt;=6,W16-6,0),IF(W16&gt;=2,2,W16)))</f>
        <v>0</v>
      </c>
      <c r="Y16" s="254">
        <f t="array" ref="Y16">IF(T15=0,0,(IF((AND((ROW(T15)=MATCH(TRUE,($T$1:$T$43)&gt;0,0)))),IF(W15&gt;=6,6,W15),IF(W15&gt;=2,W15-2,0))))</f>
        <v>0</v>
      </c>
      <c r="Z16" s="111" t="str">
        <f t="shared" si="6"/>
        <v/>
      </c>
      <c r="AA16" s="214">
        <f>IF(E15="ND",IF(ISERROR(MATCH(D16,Datenblatt!$L$2:$L$18,0)),3,2),IF(E15="ND12,5",IF(ISERROR(MATCH(D16,Datenblatt!$L$2:$L$18,0)),2.5,2),0))</f>
        <v>0</v>
      </c>
      <c r="AB16" s="214">
        <f>IF((IF(E16="ND",14-IF(D16="",0,VLOOKUP(D16,Datenblatt!$L$2:$M$30,2,FALSE)),IF(E16="ND12,5",2,0)))&lt;0,0,(IF(E16="ND",14-IF(D16="",0,VLOOKUP(D16,Datenblatt!$L$2:$M$30,2,FALSE)),IF(E16="ND12,5",2,0))))</f>
        <v>0</v>
      </c>
      <c r="AC16" s="214">
        <f t="shared" si="7"/>
        <v>0</v>
      </c>
      <c r="AD16" s="214">
        <f t="shared" si="8"/>
        <v>0</v>
      </c>
      <c r="AE16" s="214">
        <f t="shared" si="9"/>
        <v>0</v>
      </c>
      <c r="AF16" s="112">
        <f t="shared" si="10"/>
        <v>0</v>
      </c>
      <c r="AG16" s="112">
        <f t="shared" si="11"/>
        <v>0</v>
      </c>
      <c r="AH16" s="112">
        <f>IF(E16="",0,VLOOKUP(E16,Datenblatt!$E$2:$G$28,3,FALSE))</f>
        <v>0</v>
      </c>
    </row>
    <row r="17" spans="1:34" ht="13" customHeight="1">
      <c r="A17" s="89" t="str">
        <f>IF(ISERROR(VLOOKUP(C17,Datenblatt!$B$84:$B$97,1,FALSE)),"","Ft")</f>
        <v/>
      </c>
      <c r="B17" s="84">
        <f t="shared" si="0"/>
        <v>45600</v>
      </c>
      <c r="C17" s="86">
        <f t="shared" si="4"/>
        <v>45600</v>
      </c>
      <c r="D17" s="67"/>
      <c r="E17" s="67"/>
      <c r="F17" s="68"/>
      <c r="G17" s="69"/>
      <c r="H17" s="68"/>
      <c r="I17" s="68"/>
      <c r="J17" s="99"/>
      <c r="K17" s="21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20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10" t="str">
        <f>IF(D17="","",IF(E16="ND",VLOOKUP(D17,Datenblatt!$A$2:$C$31,3,FALSE)-1,IF(E16="ND12,5",VLOOKUP(D17,Datenblatt!$A$2:$C$31,3,FALSE)-0.5,VLOOKUP(D17,Datenblatt!$A$2:$C$31,3,FALSE))))</f>
        <v/>
      </c>
      <c r="N17" s="211" t="str">
        <f t="shared" si="2"/>
        <v/>
      </c>
      <c r="O17" s="211" t="str">
        <f t="shared" si="3"/>
        <v/>
      </c>
      <c r="P17" s="186">
        <f>IF(D17="",IF($P$47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$47="Freizeit",(-M17-J17+IF(ISNUMBER(N17),(N17*1.5),0)+IF(ISNUMBER(O17),(O17*2),0)+IF(OR(E17="ND",E17="ND12,5"),2,0)),(-M17-J17)),IF($P$47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103" t="str">
        <f>IF(D17="","",VLOOKUP(D17,Datenblatt!$A$2:$D$31,4,FALSE))</f>
        <v/>
      </c>
      <c r="R17" s="104" t="str">
        <f>IF(E17="","",VLOOKUP(E17,Datenblatt!$E$2:$G$28,2,FALSE))</f>
        <v/>
      </c>
      <c r="S17" s="105"/>
      <c r="T17" s="111">
        <f t="shared" si="5"/>
        <v>0</v>
      </c>
      <c r="U17" s="114">
        <f t="array" ref="U17">IF(T16=0,0,IF(AND((ROW(T16)=MATCH(TRUE,($T$1:$T$43)&gt;0,0)),(D16="ND")),IF(T16&lt;3,T16,3),IF(AND(ROW(T16)=MATCH(TRUE,($T$1:$T$43)&gt;0,0),D16="ND12,5"),IF(T16&lt;2.5,T16,2.5),IF(D16="ND12,5",2.5,(T16-V16-W16)))))</f>
        <v>0</v>
      </c>
      <c r="V17" s="112">
        <f t="array" ref="V17">IF(T17=0,0,IF(AND((ROW(T17)=MATCH(TRUE,($T$1:$T$43)&gt;0,0)),(D17="ND")),IF(AND(T17&gt;11,T17&lt;=25),T17-11,0),IF(AND(ROW(T17)=MATCH(TRUE,($T$1:$T$43)&gt;0,0),D17="ND12,5"),IF(AND(T17&gt;10.5,T17&lt;=12.5),T17-10.5,0),IF(D17="ND12,5",2,IF(T17&lt;14,T17,14)))))</f>
        <v>0</v>
      </c>
      <c r="W17" s="112">
        <f t="array" ref="W17">IF(T17=0,0,IF(AND((ROW(T17)=MATCH(TRUE,($T$1:$T$43)&gt;0,0)),(D17="ND")),IF(AND(T17&gt;3,T17&lt;11),T17-3,IF(T17&gt;=11,8,0)),IF(AND((ROW(T17)=MATCH(TRUE,($T$1:$T$43)&gt;0,0)),(D17="ND12,5")),IF(AND(T17&gt;2.5,T17&lt;10.5),T17-2.5,IF(T17&gt;=10.5,8,0)),IF(D17="ND12,5",8,IF(AND(T17&gt;14,T17&lt;22),(T17-V17),IF(T17&gt;=22,8,0))))))</f>
        <v>0</v>
      </c>
      <c r="X17" s="254">
        <f t="array" ref="X17">IF(T17=0,0,IF((AND((ROW(T17)=MATCH(TRUE,($T$1:$T$43)&gt;0,0)))),IF(W17&gt;=6,W17-6,0),IF(W17&gt;=2,2,W17)))</f>
        <v>0</v>
      </c>
      <c r="Y17" s="254">
        <f t="array" ref="Y17">IF(T16=0,0,(IF((AND((ROW(T16)=MATCH(TRUE,($T$1:$T$43)&gt;0,0)))),IF(W16&gt;=6,6,W16),IF(W16&gt;=2,W16-2,0))))</f>
        <v>0</v>
      </c>
      <c r="Z17" s="111" t="str">
        <f t="shared" si="6"/>
        <v/>
      </c>
      <c r="AA17" s="214">
        <f>IF(E16="ND",IF(ISERROR(MATCH(D17,Datenblatt!$L$2:$L$18,0)),3,2),IF(E16="ND12,5",IF(ISERROR(MATCH(D17,Datenblatt!$L$2:$L$18,0)),2.5,2),0))</f>
        <v>0</v>
      </c>
      <c r="AB17" s="214">
        <f>IF((IF(E17="ND",14-IF(D17="",0,VLOOKUP(D17,Datenblatt!$L$2:$M$30,2,FALSE)),IF(E17="ND12,5",2,0)))&lt;0,0,(IF(E17="ND",14-IF(D17="",0,VLOOKUP(D17,Datenblatt!$L$2:$M$30,2,FALSE)),IF(E17="ND12,5",2,0))))</f>
        <v>0</v>
      </c>
      <c r="AC17" s="214">
        <f t="shared" si="7"/>
        <v>0</v>
      </c>
      <c r="AD17" s="214">
        <f t="shared" si="8"/>
        <v>0</v>
      </c>
      <c r="AE17" s="214">
        <f t="shared" si="9"/>
        <v>0</v>
      </c>
      <c r="AF17" s="112">
        <f t="shared" si="10"/>
        <v>0</v>
      </c>
      <c r="AG17" s="112">
        <f t="shared" si="11"/>
        <v>0</v>
      </c>
      <c r="AH17" s="112">
        <f>IF(E17="",0,VLOOKUP(E17,Datenblatt!$E$2:$G$28,3,FALSE))</f>
        <v>0</v>
      </c>
    </row>
    <row r="18" spans="1:34" ht="13" customHeight="1">
      <c r="A18" s="89" t="str">
        <f>IF(ISERROR(VLOOKUP(C18,Datenblatt!$B$84:$B$97,1,FALSE)),"","Ft")</f>
        <v/>
      </c>
      <c r="B18" s="84">
        <f t="shared" si="0"/>
        <v>45601</v>
      </c>
      <c r="C18" s="86">
        <f t="shared" si="4"/>
        <v>45601</v>
      </c>
      <c r="D18" s="67"/>
      <c r="E18" s="67"/>
      <c r="F18" s="68"/>
      <c r="G18" s="69"/>
      <c r="H18" s="68"/>
      <c r="I18" s="68"/>
      <c r="J18" s="99"/>
      <c r="K18" s="21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20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10" t="str">
        <f>IF(D18="","",IF(E17="ND",VLOOKUP(D18,Datenblatt!$A$2:$C$31,3,FALSE)-1,IF(E17="ND12,5",VLOOKUP(D18,Datenblatt!$A$2:$C$31,3,FALSE)-0.5,VLOOKUP(D18,Datenblatt!$A$2:$C$31,3,FALSE))))</f>
        <v/>
      </c>
      <c r="N18" s="211" t="str">
        <f t="shared" si="2"/>
        <v/>
      </c>
      <c r="O18" s="211" t="str">
        <f t="shared" si="3"/>
        <v/>
      </c>
      <c r="P18" s="186">
        <f>IF(D18="",IF($P$47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$47="Freizeit",(-M18-J18+IF(ISNUMBER(N18),(N18*1.5),0)+IF(ISNUMBER(O18),(O18*2),0)+IF(OR(E18="ND",E18="ND12,5"),2,0)),(-M18-J18)),IF($P$47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103" t="str">
        <f>IF(D18="","",VLOOKUP(D18,Datenblatt!$A$2:$D$31,4,FALSE))</f>
        <v/>
      </c>
      <c r="R18" s="104" t="str">
        <f>IF(E18="","",VLOOKUP(E18,Datenblatt!$E$2:$G$28,2,FALSE))</f>
        <v/>
      </c>
      <c r="S18" s="105"/>
      <c r="T18" s="111">
        <f t="shared" si="5"/>
        <v>0</v>
      </c>
      <c r="U18" s="114">
        <f t="array" ref="U18">IF(T17=0,0,IF(AND((ROW(T17)=MATCH(TRUE,($T$1:$T$43)&gt;0,0)),(D17="ND")),IF(T17&lt;3,T17,3),IF(AND(ROW(T17)=MATCH(TRUE,($T$1:$T$43)&gt;0,0),D17="ND12,5"),IF(T17&lt;2.5,T17,2.5),IF(D17="ND12,5",2.5,(T17-V17-W17)))))</f>
        <v>0</v>
      </c>
      <c r="V18" s="112">
        <f t="array" ref="V18">IF(T18=0,0,IF(AND((ROW(T18)=MATCH(TRUE,($T$1:$T$43)&gt;0,0)),(D18="ND")),IF(AND(T18&gt;11,T18&lt;=25),T18-11,0),IF(AND(ROW(T18)=MATCH(TRUE,($T$1:$T$43)&gt;0,0),D18="ND12,5"),IF(AND(T18&gt;10.5,T18&lt;=12.5),T18-10.5,0),IF(D18="ND12,5",2,IF(T18&lt;14,T18,14)))))</f>
        <v>0</v>
      </c>
      <c r="W18" s="112">
        <f t="array" ref="W18">IF(T18=0,0,IF(AND((ROW(T18)=MATCH(TRUE,($T$1:$T$43)&gt;0,0)),(D18="ND")),IF(AND(T18&gt;3,T18&lt;11),T18-3,IF(T18&gt;=11,8,0)),IF(AND((ROW(T18)=MATCH(TRUE,($T$1:$T$43)&gt;0,0)),(D18="ND12,5")),IF(AND(T18&gt;2.5,T18&lt;10.5),T18-2.5,IF(T18&gt;=10.5,8,0)),IF(D18="ND12,5",8,IF(AND(T18&gt;14,T18&lt;22),(T18-V18),IF(T18&gt;=22,8,0))))))</f>
        <v>0</v>
      </c>
      <c r="X18" s="254">
        <f t="array" ref="X18">IF(T18=0,0,IF((AND((ROW(T18)=MATCH(TRUE,($T$1:$T$43)&gt;0,0)))),IF(W18&gt;=6,W18-6,0),IF(W18&gt;=2,2,W18)))</f>
        <v>0</v>
      </c>
      <c r="Y18" s="254">
        <f t="array" ref="Y18">IF(T17=0,0,(IF((AND((ROW(T17)=MATCH(TRUE,($T$1:$T$43)&gt;0,0)))),IF(W17&gt;=6,6,W17),IF(W17&gt;=2,W17-2,0))))</f>
        <v>0</v>
      </c>
      <c r="Z18" s="111" t="str">
        <f t="shared" si="6"/>
        <v/>
      </c>
      <c r="AA18" s="214">
        <f>IF(E17="ND",IF(ISERROR(MATCH(D18,Datenblatt!$L$2:$L$18,0)),3,2),IF(E17="ND12,5",IF(ISERROR(MATCH(D18,Datenblatt!$L$2:$L$18,0)),2.5,2),0))</f>
        <v>0</v>
      </c>
      <c r="AB18" s="214">
        <f>IF((IF(E18="ND",14-IF(D18="",0,VLOOKUP(D18,Datenblatt!$L$2:$M$30,2,FALSE)),IF(E18="ND12,5",2,0)))&lt;0,0,(IF(E18="ND",14-IF(D18="",0,VLOOKUP(D18,Datenblatt!$L$2:$M$30,2,FALSE)),IF(E18="ND12,5",2,0))))</f>
        <v>0</v>
      </c>
      <c r="AC18" s="214">
        <f t="shared" si="7"/>
        <v>0</v>
      </c>
      <c r="AD18" s="214">
        <f t="shared" si="8"/>
        <v>0</v>
      </c>
      <c r="AE18" s="214">
        <f t="shared" si="9"/>
        <v>0</v>
      </c>
      <c r="AF18" s="112">
        <f t="shared" si="10"/>
        <v>0</v>
      </c>
      <c r="AG18" s="112">
        <f t="shared" si="11"/>
        <v>0</v>
      </c>
      <c r="AH18" s="112">
        <f>IF(E18="",0,VLOOKUP(E18,Datenblatt!$E$2:$G$28,3,FALSE))</f>
        <v>0</v>
      </c>
    </row>
    <row r="19" spans="1:34" ht="13" customHeight="1">
      <c r="A19" s="89" t="str">
        <f>IF(ISERROR(VLOOKUP(C19,Datenblatt!$B$84:$B$97,1,FALSE)),"","Ft")</f>
        <v/>
      </c>
      <c r="B19" s="84">
        <f t="shared" si="0"/>
        <v>45602</v>
      </c>
      <c r="C19" s="86">
        <f t="shared" si="4"/>
        <v>45602</v>
      </c>
      <c r="D19" s="67"/>
      <c r="E19" s="67"/>
      <c r="F19" s="68"/>
      <c r="G19" s="69"/>
      <c r="H19" s="68"/>
      <c r="I19" s="68"/>
      <c r="J19" s="99"/>
      <c r="K19" s="21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20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10" t="str">
        <f>IF(D19="","",IF(E18="ND",VLOOKUP(D19,Datenblatt!$A$2:$C$31,3,FALSE)-1,IF(E18="ND12,5",VLOOKUP(D19,Datenblatt!$A$2:$C$31,3,FALSE)-0.5,VLOOKUP(D19,Datenblatt!$A$2:$C$31,3,FALSE))))</f>
        <v/>
      </c>
      <c r="N19" s="211" t="str">
        <f t="shared" si="2"/>
        <v/>
      </c>
      <c r="O19" s="211" t="str">
        <f t="shared" si="3"/>
        <v/>
      </c>
      <c r="P19" s="186">
        <f>IF(D19="",IF($P$47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$47="Freizeit",(-M19-J19+IF(ISNUMBER(N19),(N19*1.5),0)+IF(ISNUMBER(O19),(O19*2),0)+IF(OR(E19="ND",E19="ND12,5"),2,0)),(-M19-J19)),IF($P$47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103" t="str">
        <f>IF(D19="","",VLOOKUP(D19,Datenblatt!$A$2:$D$31,4,FALSE))</f>
        <v/>
      </c>
      <c r="R19" s="104" t="str">
        <f>IF(E19="","",VLOOKUP(E19,Datenblatt!$E$2:$G$28,2,FALSE))</f>
        <v/>
      </c>
      <c r="S19" s="105"/>
      <c r="T19" s="111">
        <f t="shared" si="5"/>
        <v>0</v>
      </c>
      <c r="U19" s="114">
        <f t="array" ref="U19">IF(T18=0,0,IF(AND((ROW(T18)=MATCH(TRUE,($T$1:$T$43)&gt;0,0)),(D18="ND")),IF(T18&lt;3,T18,3),IF(AND(ROW(T18)=MATCH(TRUE,($T$1:$T$43)&gt;0,0),D18="ND12,5"),IF(T18&lt;2.5,T18,2.5),IF(D18="ND12,5",2.5,(T18-V18-W18)))))</f>
        <v>0</v>
      </c>
      <c r="V19" s="112">
        <f t="array" ref="V19">IF(T19=0,0,IF(AND((ROW(T19)=MATCH(TRUE,($T$1:$T$43)&gt;0,0)),(D19="ND")),IF(AND(T19&gt;11,T19&lt;=25),T19-11,0),IF(AND(ROW(T19)=MATCH(TRUE,($T$1:$T$43)&gt;0,0),D19="ND12,5"),IF(AND(T19&gt;10.5,T19&lt;=12.5),T19-10.5,0),IF(D19="ND12,5",2,IF(T19&lt;14,T19,14)))))</f>
        <v>0</v>
      </c>
      <c r="W19" s="112">
        <f t="array" ref="W19">IF(T19=0,0,IF(AND((ROW(T19)=MATCH(TRUE,($T$1:$T$43)&gt;0,0)),(D19="ND")),IF(AND(T19&gt;3,T19&lt;11),T19-3,IF(T19&gt;=11,8,0)),IF(AND((ROW(T19)=MATCH(TRUE,($T$1:$T$43)&gt;0,0)),(D19="ND12,5")),IF(AND(T19&gt;2.5,T19&lt;10.5),T19-2.5,IF(T19&gt;=10.5,8,0)),IF(D19="ND12,5",8,IF(AND(T19&gt;14,T19&lt;22),(T19-V19),IF(T19&gt;=22,8,0))))))</f>
        <v>0</v>
      </c>
      <c r="X19" s="254">
        <f t="array" ref="X19">IF(T19=0,0,IF((AND((ROW(T19)=MATCH(TRUE,($T$1:$T$43)&gt;0,0)))),IF(W19&gt;=6,W19-6,0),IF(W19&gt;=2,2,W19)))</f>
        <v>0</v>
      </c>
      <c r="Y19" s="254">
        <f t="array" ref="Y19">IF(T18=0,0,(IF((AND((ROW(T18)=MATCH(TRUE,($T$1:$T$43)&gt;0,0)))),IF(W18&gt;=6,6,W18),IF(W18&gt;=2,W18-2,0))))</f>
        <v>0</v>
      </c>
      <c r="Z19" s="111" t="str">
        <f t="shared" si="6"/>
        <v/>
      </c>
      <c r="AA19" s="214">
        <f>IF(E18="ND",IF(ISERROR(MATCH(D19,Datenblatt!$L$2:$L$18,0)),3,2),IF(E18="ND12,5",IF(ISERROR(MATCH(D19,Datenblatt!$L$2:$L$18,0)),2.5,2),0))</f>
        <v>0</v>
      </c>
      <c r="AB19" s="214">
        <f>IF((IF(E19="ND",14-IF(D19="",0,VLOOKUP(D19,Datenblatt!$L$2:$M$30,2,FALSE)),IF(E19="ND12,5",2,0)))&lt;0,0,(IF(E19="ND",14-IF(D19="",0,VLOOKUP(D19,Datenblatt!$L$2:$M$30,2,FALSE)),IF(E19="ND12,5",2,0))))</f>
        <v>0</v>
      </c>
      <c r="AC19" s="214">
        <f t="shared" si="7"/>
        <v>0</v>
      </c>
      <c r="AD19" s="214">
        <f t="shared" si="8"/>
        <v>0</v>
      </c>
      <c r="AE19" s="214">
        <f t="shared" si="9"/>
        <v>0</v>
      </c>
      <c r="AF19" s="112">
        <f t="shared" si="10"/>
        <v>0</v>
      </c>
      <c r="AG19" s="112">
        <f t="shared" si="11"/>
        <v>0</v>
      </c>
      <c r="AH19" s="112">
        <f>IF(E19="",0,VLOOKUP(E19,Datenblatt!$E$2:$G$28,3,FALSE))</f>
        <v>0</v>
      </c>
    </row>
    <row r="20" spans="1:34" ht="13" customHeight="1">
      <c r="A20" s="89" t="str">
        <f>IF(ISERROR(VLOOKUP(C20,Datenblatt!$B$84:$B$97,1,FALSE)),"","Ft")</f>
        <v/>
      </c>
      <c r="B20" s="84">
        <f t="shared" si="0"/>
        <v>45603</v>
      </c>
      <c r="C20" s="86">
        <f t="shared" si="4"/>
        <v>45603</v>
      </c>
      <c r="D20" s="67"/>
      <c r="E20" s="67"/>
      <c r="F20" s="68"/>
      <c r="G20" s="69"/>
      <c r="H20" s="68"/>
      <c r="I20" s="68"/>
      <c r="J20" s="99"/>
      <c r="K20" s="21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20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10" t="str">
        <f>IF(D20="","",IF(E19="ND",VLOOKUP(D20,Datenblatt!$A$2:$C$31,3,FALSE)-1,IF(E19="ND12,5",VLOOKUP(D20,Datenblatt!$A$2:$C$31,3,FALSE)-0.5,VLOOKUP(D20,Datenblatt!$A$2:$C$31,3,FALSE))))</f>
        <v/>
      </c>
      <c r="N20" s="211" t="str">
        <f t="shared" si="2"/>
        <v/>
      </c>
      <c r="O20" s="211" t="str">
        <f t="shared" si="3"/>
        <v/>
      </c>
      <c r="P20" s="186">
        <f>IF(D20="",IF($P$47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$47="Freizeit",(-M20-J20+IF(ISNUMBER(N20),(N20*1.5),0)+IF(ISNUMBER(O20),(O20*2),0)+IF(OR(E20="ND",E20="ND12,5"),2,0)),(-M20-J20)),IF($P$47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103" t="str">
        <f>IF(D20="","",VLOOKUP(D20,Datenblatt!$A$2:$D$31,4,FALSE))</f>
        <v/>
      </c>
      <c r="R20" s="104" t="str">
        <f>IF(E20="","",VLOOKUP(E20,Datenblatt!$E$2:$G$28,2,FALSE))</f>
        <v/>
      </c>
      <c r="S20" s="105"/>
      <c r="T20" s="111">
        <f t="shared" si="5"/>
        <v>0</v>
      </c>
      <c r="U20" s="114">
        <f t="array" ref="U20">IF(T19=0,0,IF(AND((ROW(T19)=MATCH(TRUE,($T$1:$T$43)&gt;0,0)),(D19="ND")),IF(T19&lt;3,T19,3),IF(AND(ROW(T19)=MATCH(TRUE,($T$1:$T$43)&gt;0,0),D19="ND12,5"),IF(T19&lt;2.5,T19,2.5),IF(D19="ND12,5",2.5,(T19-V19-W19)))))</f>
        <v>0</v>
      </c>
      <c r="V20" s="112">
        <f t="array" ref="V20">IF(T20=0,0,IF(AND((ROW(T20)=MATCH(TRUE,($T$1:$T$43)&gt;0,0)),(D20="ND")),IF(AND(T20&gt;11,T20&lt;=25),T20-11,0),IF(AND(ROW(T20)=MATCH(TRUE,($T$1:$T$43)&gt;0,0),D20="ND12,5"),IF(AND(T20&gt;10.5,T20&lt;=12.5),T20-10.5,0),IF(D20="ND12,5",2,IF(T20&lt;14,T20,14)))))</f>
        <v>0</v>
      </c>
      <c r="W20" s="112">
        <f t="array" ref="W20">IF(T20=0,0,IF(AND((ROW(T20)=MATCH(TRUE,($T$1:$T$43)&gt;0,0)),(D20="ND")),IF(AND(T20&gt;3,T20&lt;11),T20-3,IF(T20&gt;=11,8,0)),IF(AND((ROW(T20)=MATCH(TRUE,($T$1:$T$43)&gt;0,0)),(D20="ND12,5")),IF(AND(T20&gt;2.5,T20&lt;10.5),T20-2.5,IF(T20&gt;=10.5,8,0)),IF(D20="ND12,5",8,IF(AND(T20&gt;14,T20&lt;22),(T20-V20),IF(T20&gt;=22,8,0))))))</f>
        <v>0</v>
      </c>
      <c r="X20" s="254">
        <f t="array" ref="X20">IF(T20=0,0,IF((AND((ROW(T20)=MATCH(TRUE,($T$1:$T$43)&gt;0,0)))),IF(W20&gt;=6,W20-6,0),IF(W20&gt;=2,2,W20)))</f>
        <v>0</v>
      </c>
      <c r="Y20" s="254">
        <f t="array" ref="Y20">IF(T19=0,0,(IF((AND((ROW(T19)=MATCH(TRUE,($T$1:$T$43)&gt;0,0)))),IF(W19&gt;=6,6,W19),IF(W19&gt;=2,W19-2,0))))</f>
        <v>0</v>
      </c>
      <c r="Z20" s="111" t="str">
        <f t="shared" si="6"/>
        <v/>
      </c>
      <c r="AA20" s="214">
        <f>IF(E19="ND",IF(ISERROR(MATCH(D20,Datenblatt!$L$2:$L$18,0)),3,2),IF(E19="ND12,5",IF(ISERROR(MATCH(D20,Datenblatt!$L$2:$L$18,0)),2.5,2),0))</f>
        <v>0</v>
      </c>
      <c r="AB20" s="214">
        <f>IF((IF(E20="ND",14-IF(D20="",0,VLOOKUP(D20,Datenblatt!$L$2:$M$30,2,FALSE)),IF(E20="ND12,5",2,0)))&lt;0,0,(IF(E20="ND",14-IF(D20="",0,VLOOKUP(D20,Datenblatt!$L$2:$M$30,2,FALSE)),IF(E20="ND12,5",2,0))))</f>
        <v>0</v>
      </c>
      <c r="AC20" s="214">
        <f t="shared" si="7"/>
        <v>0</v>
      </c>
      <c r="AD20" s="214">
        <f t="shared" si="8"/>
        <v>0</v>
      </c>
      <c r="AE20" s="214">
        <f t="shared" si="9"/>
        <v>0</v>
      </c>
      <c r="AF20" s="112">
        <f t="shared" si="10"/>
        <v>0</v>
      </c>
      <c r="AG20" s="112">
        <f t="shared" si="11"/>
        <v>0</v>
      </c>
      <c r="AH20" s="112">
        <f>IF(E20="",0,VLOOKUP(E20,Datenblatt!$E$2:$G$28,3,FALSE))</f>
        <v>0</v>
      </c>
    </row>
    <row r="21" spans="1:34" ht="13" customHeight="1">
      <c r="A21" s="89" t="str">
        <f>IF(ISERROR(VLOOKUP(C21,Datenblatt!$B$84:$B$97,1,FALSE)),"","Ft")</f>
        <v/>
      </c>
      <c r="B21" s="84">
        <f t="shared" si="0"/>
        <v>45604</v>
      </c>
      <c r="C21" s="86">
        <f t="shared" si="4"/>
        <v>45604</v>
      </c>
      <c r="D21" s="67"/>
      <c r="E21" s="67"/>
      <c r="F21" s="68"/>
      <c r="G21" s="69"/>
      <c r="H21" s="68"/>
      <c r="I21" s="68"/>
      <c r="J21" s="99"/>
      <c r="K21" s="21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20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10" t="str">
        <f>IF(D21="","",IF(E20="ND",VLOOKUP(D21,Datenblatt!$A$2:$C$31,3,FALSE)-1,IF(E20="ND12,5",VLOOKUP(D21,Datenblatt!$A$2:$C$31,3,FALSE)-0.5,VLOOKUP(D21,Datenblatt!$A$2:$C$31,3,FALSE))))</f>
        <v/>
      </c>
      <c r="N21" s="211" t="str">
        <f t="shared" si="2"/>
        <v/>
      </c>
      <c r="O21" s="211" t="str">
        <f t="shared" si="3"/>
        <v/>
      </c>
      <c r="P21" s="186">
        <f>IF(D21="",IF($P$47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$47="Freizeit",(-M21-J21+IF(ISNUMBER(N21),(N21*1.5),0)+IF(ISNUMBER(O21),(O21*2),0)+IF(OR(E21="ND",E21="ND12,5"),2,0)),(-M21-J21)),IF($P$47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103" t="str">
        <f>IF(D21="","",VLOOKUP(D21,Datenblatt!$A$2:$D$31,4,FALSE))</f>
        <v/>
      </c>
      <c r="R21" s="104" t="str">
        <f>IF(E21="","",VLOOKUP(E21,Datenblatt!$E$2:$G$28,2,FALSE))</f>
        <v/>
      </c>
      <c r="S21" s="105"/>
      <c r="T21" s="111">
        <f t="shared" si="5"/>
        <v>0</v>
      </c>
      <c r="U21" s="114">
        <f t="array" ref="U21">IF(T20=0,0,IF(AND((ROW(T20)=MATCH(TRUE,($T$1:$T$43)&gt;0,0)),(D20="ND")),IF(T20&lt;3,T20,3),IF(AND(ROW(T20)=MATCH(TRUE,($T$1:$T$43)&gt;0,0),D20="ND12,5"),IF(T20&lt;2.5,T20,2.5),IF(D20="ND12,5",2.5,(T20-V20-W20)))))</f>
        <v>0</v>
      </c>
      <c r="V21" s="112">
        <f t="array" ref="V21">IF(T21=0,0,IF(AND((ROW(T21)=MATCH(TRUE,($T$1:$T$43)&gt;0,0)),(D21="ND")),IF(AND(T21&gt;11,T21&lt;=25),T21-11,0),IF(AND(ROW(T21)=MATCH(TRUE,($T$1:$T$43)&gt;0,0),D21="ND12,5"),IF(AND(T21&gt;10.5,T21&lt;=12.5),T21-10.5,0),IF(D21="ND12,5",2,IF(T21&lt;14,T21,14)))))</f>
        <v>0</v>
      </c>
      <c r="W21" s="112">
        <f t="array" ref="W21">IF(T21=0,0,IF(AND((ROW(T21)=MATCH(TRUE,($T$1:$T$43)&gt;0,0)),(D21="ND")),IF(AND(T21&gt;3,T21&lt;11),T21-3,IF(T21&gt;=11,8,0)),IF(AND((ROW(T21)=MATCH(TRUE,($T$1:$T$43)&gt;0,0)),(D21="ND12,5")),IF(AND(T21&gt;2.5,T21&lt;10.5),T21-2.5,IF(T21&gt;=10.5,8,0)),IF(D21="ND12,5",8,IF(AND(T21&gt;14,T21&lt;22),(T21-V21),IF(T21&gt;=22,8,0))))))</f>
        <v>0</v>
      </c>
      <c r="X21" s="254">
        <f t="array" ref="X21">IF(T21=0,0,IF((AND((ROW(T21)=MATCH(TRUE,($T$1:$T$43)&gt;0,0)))),IF(W21&gt;=6,W21-6,0),IF(W21&gt;=2,2,W21)))</f>
        <v>0</v>
      </c>
      <c r="Y21" s="254">
        <f t="array" ref="Y21">IF(T20=0,0,(IF((AND((ROW(T20)=MATCH(TRUE,($T$1:$T$43)&gt;0,0)))),IF(W20&gt;=6,6,W20),IF(W20&gt;=2,W20-2,0))))</f>
        <v>0</v>
      </c>
      <c r="Z21" s="111" t="str">
        <f t="shared" si="6"/>
        <v/>
      </c>
      <c r="AA21" s="214">
        <f>IF(E20="ND",IF(ISERROR(MATCH(D21,Datenblatt!$L$2:$L$18,0)),3,2),IF(E20="ND12,5",IF(ISERROR(MATCH(D21,Datenblatt!$L$2:$L$18,0)),2.5,2),0))</f>
        <v>0</v>
      </c>
      <c r="AB21" s="214">
        <f>IF((IF(E21="ND",14-IF(D21="",0,VLOOKUP(D21,Datenblatt!$L$2:$M$30,2,FALSE)),IF(E21="ND12,5",2,0)))&lt;0,0,(IF(E21="ND",14-IF(D21="",0,VLOOKUP(D21,Datenblatt!$L$2:$M$30,2,FALSE)),IF(E21="ND12,5",2,0))))</f>
        <v>0</v>
      </c>
      <c r="AC21" s="214">
        <f t="shared" si="7"/>
        <v>0</v>
      </c>
      <c r="AD21" s="214">
        <f t="shared" si="8"/>
        <v>0</v>
      </c>
      <c r="AE21" s="214">
        <f t="shared" si="9"/>
        <v>0</v>
      </c>
      <c r="AF21" s="112">
        <f t="shared" si="10"/>
        <v>0</v>
      </c>
      <c r="AG21" s="112">
        <f t="shared" si="11"/>
        <v>0</v>
      </c>
      <c r="AH21" s="112">
        <f>IF(E21="",0,VLOOKUP(E21,Datenblatt!$E$2:$G$28,3,FALSE))</f>
        <v>0</v>
      </c>
    </row>
    <row r="22" spans="1:34" ht="13" customHeight="1">
      <c r="A22" s="89" t="str">
        <f>IF(ISERROR(VLOOKUP(C22,Datenblatt!$B$84:$B$97,1,FALSE)),"","Ft")</f>
        <v/>
      </c>
      <c r="B22" s="84">
        <f t="shared" si="0"/>
        <v>45605</v>
      </c>
      <c r="C22" s="86">
        <f t="shared" si="4"/>
        <v>45605</v>
      </c>
      <c r="D22" s="67"/>
      <c r="E22" s="67"/>
      <c r="F22" s="68"/>
      <c r="G22" s="69"/>
      <c r="H22" s="68"/>
      <c r="I22" s="68"/>
      <c r="J22" s="99"/>
      <c r="K22" s="21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20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10" t="str">
        <f>IF(D22="","",IF(E21="ND",VLOOKUP(D22,Datenblatt!$A$2:$C$31,3,FALSE)-1,IF(E21="ND12,5",VLOOKUP(D22,Datenblatt!$A$2:$C$31,3,FALSE)-0.5,VLOOKUP(D22,Datenblatt!$A$2:$C$31,3,FALSE))))</f>
        <v/>
      </c>
      <c r="N22" s="211" t="str">
        <f t="shared" si="2"/>
        <v/>
      </c>
      <c r="O22" s="211" t="str">
        <f t="shared" si="3"/>
        <v/>
      </c>
      <c r="P22" s="186">
        <f>IF(D22="",IF($P$47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$47="Freizeit",(-M22-J22+IF(ISNUMBER(N22),(N22*1.5),0)+IF(ISNUMBER(O22),(O22*2),0)+IF(OR(E22="ND",E22="ND12,5"),2,0)),(-M22-J22)),IF($P$47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103" t="str">
        <f>IF(D22="","",VLOOKUP(D22,Datenblatt!$A$2:$D$31,4,FALSE))</f>
        <v/>
      </c>
      <c r="R22" s="104" t="str">
        <f>IF(E22="","",VLOOKUP(E22,Datenblatt!$E$2:$G$28,2,FALSE))</f>
        <v/>
      </c>
      <c r="S22" s="105"/>
      <c r="T22" s="111">
        <f t="shared" si="5"/>
        <v>0</v>
      </c>
      <c r="U22" s="114">
        <f t="array" ref="U22">IF(T21=0,0,IF(AND((ROW(T21)=MATCH(TRUE,($T$1:$T$43)&gt;0,0)),(D21="ND")),IF(T21&lt;3,T21,3),IF(AND(ROW(T21)=MATCH(TRUE,($T$1:$T$43)&gt;0,0),D21="ND12,5"),IF(T21&lt;2.5,T21,2.5),IF(D21="ND12,5",2.5,(T21-V21-W21)))))</f>
        <v>0</v>
      </c>
      <c r="V22" s="112">
        <f t="array" ref="V22">IF(T22=0,0,IF(AND((ROW(T22)=MATCH(TRUE,($T$1:$T$43)&gt;0,0)),(D22="ND")),IF(AND(T22&gt;11,T22&lt;=25),T22-11,0),IF(AND(ROW(T22)=MATCH(TRUE,($T$1:$T$43)&gt;0,0),D22="ND12,5"),IF(AND(T22&gt;10.5,T22&lt;=12.5),T22-10.5,0),IF(D22="ND12,5",2,IF(T22&lt;14,T22,14)))))</f>
        <v>0</v>
      </c>
      <c r="W22" s="112">
        <f t="array" ref="W22">IF(T22=0,0,IF(AND((ROW(T22)=MATCH(TRUE,($T$1:$T$43)&gt;0,0)),(D22="ND")),IF(AND(T22&gt;3,T22&lt;11),T22-3,IF(T22&gt;=11,8,0)),IF(AND((ROW(T22)=MATCH(TRUE,($T$1:$T$43)&gt;0,0)),(D22="ND12,5")),IF(AND(T22&gt;2.5,T22&lt;10.5),T22-2.5,IF(T22&gt;=10.5,8,0)),IF(D22="ND12,5",8,IF(AND(T22&gt;14,T22&lt;22),(T22-V22),IF(T22&gt;=22,8,0))))))</f>
        <v>0</v>
      </c>
      <c r="X22" s="254">
        <f t="array" ref="X22">IF(T22=0,0,IF((AND((ROW(T22)=MATCH(TRUE,($T$1:$T$43)&gt;0,0)))),IF(W22&gt;=6,W22-6,0),IF(W22&gt;=2,2,W22)))</f>
        <v>0</v>
      </c>
      <c r="Y22" s="254">
        <f t="array" ref="Y22">IF(T21=0,0,(IF((AND((ROW(T21)=MATCH(TRUE,($T$1:$T$43)&gt;0,0)))),IF(W21&gt;=6,6,W21),IF(W21&gt;=2,W21-2,0))))</f>
        <v>0</v>
      </c>
      <c r="Z22" s="111" t="str">
        <f t="shared" si="6"/>
        <v/>
      </c>
      <c r="AA22" s="214">
        <f>IF(E21="ND",IF(ISERROR(MATCH(D22,Datenblatt!$L$2:$L$18,0)),3,2),IF(E21="ND12,5",IF(ISERROR(MATCH(D22,Datenblatt!$L$2:$L$18,0)),2.5,2),0))</f>
        <v>0</v>
      </c>
      <c r="AB22" s="214">
        <f>IF((IF(E22="ND",14-IF(D22="",0,VLOOKUP(D22,Datenblatt!$L$2:$M$30,2,FALSE)),IF(E22="ND12,5",2,0)))&lt;0,0,(IF(E22="ND",14-IF(D22="",0,VLOOKUP(D22,Datenblatt!$L$2:$M$30,2,FALSE)),IF(E22="ND12,5",2,0))))</f>
        <v>0</v>
      </c>
      <c r="AC22" s="214">
        <f t="shared" si="7"/>
        <v>0</v>
      </c>
      <c r="AD22" s="214">
        <f t="shared" si="8"/>
        <v>0</v>
      </c>
      <c r="AE22" s="214">
        <f t="shared" si="9"/>
        <v>0</v>
      </c>
      <c r="AF22" s="112">
        <f t="shared" si="10"/>
        <v>0</v>
      </c>
      <c r="AG22" s="112">
        <f t="shared" si="11"/>
        <v>0</v>
      </c>
      <c r="AH22" s="112">
        <f>IF(E22="",0,VLOOKUP(E22,Datenblatt!$E$2:$G$28,3,FALSE))</f>
        <v>0</v>
      </c>
    </row>
    <row r="23" spans="1:34" ht="13" customHeight="1">
      <c r="A23" s="89" t="str">
        <f>IF(ISERROR(VLOOKUP(C23,Datenblatt!$B$84:$B$97,1,FALSE)),"","Ft")</f>
        <v/>
      </c>
      <c r="B23" s="84">
        <f t="shared" si="0"/>
        <v>45606</v>
      </c>
      <c r="C23" s="86">
        <f t="shared" si="4"/>
        <v>45606</v>
      </c>
      <c r="D23" s="67"/>
      <c r="E23" s="67"/>
      <c r="F23" s="68"/>
      <c r="G23" s="69"/>
      <c r="H23" s="68"/>
      <c r="I23" s="68"/>
      <c r="J23" s="99"/>
      <c r="K23" s="21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20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10" t="str">
        <f>IF(D23="","",IF(E22="ND",VLOOKUP(D23,Datenblatt!$A$2:$C$31,3,FALSE)-1,IF(E22="ND12,5",VLOOKUP(D23,Datenblatt!$A$2:$C$31,3,FALSE)-0.5,VLOOKUP(D23,Datenblatt!$A$2:$C$31,3,FALSE))))</f>
        <v/>
      </c>
      <c r="N23" s="211" t="str">
        <f t="shared" si="2"/>
        <v/>
      </c>
      <c r="O23" s="211">
        <f t="shared" si="3"/>
        <v>0</v>
      </c>
      <c r="P23" s="186">
        <f>IF(D23="",IF($P$47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$47="Freizeit",(-M23-J23+IF(ISNUMBER(N23),(N23*1.5),0)+IF(ISNUMBER(O23),(O23*2),0)+IF(OR(E23="ND",E23="ND12,5"),2,0)),(-M23-J23)),IF($P$47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103" t="str">
        <f>IF(D23="","",VLOOKUP(D23,Datenblatt!$A$2:$D$31,4,FALSE))</f>
        <v/>
      </c>
      <c r="R23" s="104" t="str">
        <f>IF(E23="","",VLOOKUP(E23,Datenblatt!$E$2:$G$28,2,FALSE))</f>
        <v/>
      </c>
      <c r="S23" s="105"/>
      <c r="T23" s="111">
        <f t="shared" si="5"/>
        <v>0</v>
      </c>
      <c r="U23" s="114">
        <f t="array" ref="U23">IF(T22=0,0,IF(AND((ROW(T22)=MATCH(TRUE,($T$1:$T$43)&gt;0,0)),(D22="ND")),IF(T22&lt;3,T22,3),IF(AND(ROW(T22)=MATCH(TRUE,($T$1:$T$43)&gt;0,0),D22="ND12,5"),IF(T22&lt;2.5,T22,2.5),IF(D22="ND12,5",2.5,(T22-V22-W22)))))</f>
        <v>0</v>
      </c>
      <c r="V23" s="112">
        <f t="array" ref="V23">IF(T23=0,0,IF(AND((ROW(T23)=MATCH(TRUE,($T$1:$T$43)&gt;0,0)),(D23="ND")),IF(AND(T23&gt;11,T23&lt;=25),T23-11,0),IF(AND(ROW(T23)=MATCH(TRUE,($T$1:$T$43)&gt;0,0),D23="ND12,5"),IF(AND(T23&gt;10.5,T23&lt;=12.5),T23-10.5,0),IF(D23="ND12,5",2,IF(T23&lt;14,T23,14)))))</f>
        <v>0</v>
      </c>
      <c r="W23" s="112">
        <f t="array" ref="W23">IF(T23=0,0,IF(AND((ROW(T23)=MATCH(TRUE,($T$1:$T$43)&gt;0,0)),(D23="ND")),IF(AND(T23&gt;3,T23&lt;11),T23-3,IF(T23&gt;=11,8,0)),IF(AND((ROW(T23)=MATCH(TRUE,($T$1:$T$43)&gt;0,0)),(D23="ND12,5")),IF(AND(T23&gt;2.5,T23&lt;10.5),T23-2.5,IF(T23&gt;=10.5,8,0)),IF(D23="ND12,5",8,IF(AND(T23&gt;14,T23&lt;22),(T23-V23),IF(T23&gt;=22,8,0))))))</f>
        <v>0</v>
      </c>
      <c r="X23" s="254">
        <f t="array" ref="X23">IF(T23=0,0,IF((AND((ROW(T23)=MATCH(TRUE,($T$1:$T$43)&gt;0,0)))),IF(W23&gt;=6,W23-6,0),IF(W23&gt;=2,2,W23)))</f>
        <v>0</v>
      </c>
      <c r="Y23" s="254">
        <f t="array" ref="Y23">IF(T22=0,0,(IF((AND((ROW(T22)=MATCH(TRUE,($T$1:$T$43)&gt;0,0)))),IF(W22&gt;=6,6,W22),IF(W22&gt;=2,W22-2,0))))</f>
        <v>0</v>
      </c>
      <c r="Z23" s="111" t="str">
        <f t="shared" si="6"/>
        <v/>
      </c>
      <c r="AA23" s="214">
        <f>IF(E22="ND",IF(ISERROR(MATCH(D23,Datenblatt!$L$2:$L$18,0)),3,2),IF(E22="ND12,5",IF(ISERROR(MATCH(D23,Datenblatt!$L$2:$L$18,0)),2.5,2),0))</f>
        <v>0</v>
      </c>
      <c r="AB23" s="214">
        <f>IF((IF(E23="ND",14-IF(D23="",0,VLOOKUP(D23,Datenblatt!$L$2:$M$30,2,FALSE)),IF(E23="ND12,5",2,0)))&lt;0,0,(IF(E23="ND",14-IF(D23="",0,VLOOKUP(D23,Datenblatt!$L$2:$M$30,2,FALSE)),IF(E23="ND12,5",2,0))))</f>
        <v>0</v>
      </c>
      <c r="AC23" s="214">
        <f t="shared" si="7"/>
        <v>0</v>
      </c>
      <c r="AD23" s="214">
        <f t="shared" si="8"/>
        <v>0</v>
      </c>
      <c r="AE23" s="214">
        <f t="shared" si="9"/>
        <v>0</v>
      </c>
      <c r="AF23" s="112">
        <f t="shared" si="10"/>
        <v>0</v>
      </c>
      <c r="AG23" s="112">
        <f t="shared" si="11"/>
        <v>0</v>
      </c>
      <c r="AH23" s="112">
        <f>IF(E23="",0,VLOOKUP(E23,Datenblatt!$E$2:$G$28,3,FALSE))</f>
        <v>0</v>
      </c>
    </row>
    <row r="24" spans="1:34" ht="13" customHeight="1">
      <c r="A24" s="89" t="str">
        <f>IF(ISERROR(VLOOKUP(C24,Datenblatt!$B$84:$B$97,1,FALSE)),"","Ft")</f>
        <v/>
      </c>
      <c r="B24" s="84">
        <f t="shared" si="0"/>
        <v>45607</v>
      </c>
      <c r="C24" s="86">
        <f t="shared" si="4"/>
        <v>45607</v>
      </c>
      <c r="D24" s="67"/>
      <c r="E24" s="67"/>
      <c r="F24" s="68"/>
      <c r="G24" s="69"/>
      <c r="H24" s="68"/>
      <c r="I24" s="68"/>
      <c r="J24" s="99"/>
      <c r="K24" s="21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20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10" t="str">
        <f>IF(D24="","",IF(E23="ND",VLOOKUP(D24,Datenblatt!$A$2:$C$31,3,FALSE)-1,IF(E23="ND12,5",VLOOKUP(D24,Datenblatt!$A$2:$C$31,3,FALSE)-0.5,VLOOKUP(D24,Datenblatt!$A$2:$C$31,3,FALSE))))</f>
        <v/>
      </c>
      <c r="N24" s="211" t="str">
        <f t="shared" si="2"/>
        <v/>
      </c>
      <c r="O24" s="211" t="str">
        <f t="shared" si="3"/>
        <v/>
      </c>
      <c r="P24" s="186">
        <f>IF(D24="",IF($P$47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$47="Freizeit",(-M24-J24+IF(ISNUMBER(N24),(N24*1.5),0)+IF(ISNUMBER(O24),(O24*2),0)+IF(OR(E24="ND",E24="ND12,5"),2,0)),(-M24-J24)),IF($P$47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103" t="str">
        <f>IF(D24="","",VLOOKUP(D24,Datenblatt!$A$2:$D$31,4,FALSE))</f>
        <v/>
      </c>
      <c r="R24" s="104" t="str">
        <f>IF(E24="","",VLOOKUP(E24,Datenblatt!$E$2:$G$28,2,FALSE))</f>
        <v/>
      </c>
      <c r="S24" s="105"/>
      <c r="T24" s="111">
        <f t="shared" si="5"/>
        <v>0</v>
      </c>
      <c r="U24" s="114">
        <f t="array" ref="U24">IF(T23=0,0,IF(AND((ROW(T23)=MATCH(TRUE,($T$1:$T$43)&gt;0,0)),(D23="ND")),IF(T23&lt;3,T23,3),IF(AND(ROW(T23)=MATCH(TRUE,($T$1:$T$43)&gt;0,0),D23="ND12,5"),IF(T23&lt;2.5,T23,2.5),IF(D23="ND12,5",2.5,(T23-V23-W23)))))</f>
        <v>0</v>
      </c>
      <c r="V24" s="112">
        <f t="array" ref="V24">IF(T24=0,0,IF(AND((ROW(T24)=MATCH(TRUE,($T$1:$T$43)&gt;0,0)),(D24="ND")),IF(AND(T24&gt;11,T24&lt;=25),T24-11,0),IF(AND(ROW(T24)=MATCH(TRUE,($T$1:$T$43)&gt;0,0),D24="ND12,5"),IF(AND(T24&gt;10.5,T24&lt;=12.5),T24-10.5,0),IF(D24="ND12,5",2,IF(T24&lt;14,T24,14)))))</f>
        <v>0</v>
      </c>
      <c r="W24" s="112">
        <f t="array" ref="W24">IF(T24=0,0,IF(AND((ROW(T24)=MATCH(TRUE,($T$1:$T$43)&gt;0,0)),(D24="ND")),IF(AND(T24&gt;3,T24&lt;11),T24-3,IF(T24&gt;=11,8,0)),IF(AND((ROW(T24)=MATCH(TRUE,($T$1:$T$43)&gt;0,0)),(D24="ND12,5")),IF(AND(T24&gt;2.5,T24&lt;10.5),T24-2.5,IF(T24&gt;=10.5,8,0)),IF(D24="ND12,5",8,IF(AND(T24&gt;14,T24&lt;22),(T24-V24),IF(T24&gt;=22,8,0))))))</f>
        <v>0</v>
      </c>
      <c r="X24" s="254">
        <f t="array" ref="X24">IF(T24=0,0,IF((AND((ROW(T24)=MATCH(TRUE,($T$1:$T$43)&gt;0,0)))),IF(W24&gt;=6,W24-6,0),IF(W24&gt;=2,2,W24)))</f>
        <v>0</v>
      </c>
      <c r="Y24" s="254">
        <f t="array" ref="Y24">IF(T23=0,0,(IF((AND((ROW(T23)=MATCH(TRUE,($T$1:$T$43)&gt;0,0)))),IF(W23&gt;=6,6,W23),IF(W23&gt;=2,W23-2,0))))</f>
        <v>0</v>
      </c>
      <c r="Z24" s="111" t="str">
        <f t="shared" si="6"/>
        <v/>
      </c>
      <c r="AA24" s="214">
        <f>IF(E23="ND",IF(ISERROR(MATCH(D24,Datenblatt!$L$2:$L$18,0)),3,2),IF(E23="ND12,5",IF(ISERROR(MATCH(D24,Datenblatt!$L$2:$L$18,0)),2.5,2),0))</f>
        <v>0</v>
      </c>
      <c r="AB24" s="214">
        <f>IF((IF(E24="ND",14-IF(D24="",0,VLOOKUP(D24,Datenblatt!$L$2:$M$30,2,FALSE)),IF(E24="ND12,5",2,0)))&lt;0,0,(IF(E24="ND",14-IF(D24="",0,VLOOKUP(D24,Datenblatt!$L$2:$M$30,2,FALSE)),IF(E24="ND12,5",2,0))))</f>
        <v>0</v>
      </c>
      <c r="AC24" s="214">
        <f t="shared" si="7"/>
        <v>0</v>
      </c>
      <c r="AD24" s="214">
        <f t="shared" si="8"/>
        <v>0</v>
      </c>
      <c r="AE24" s="214">
        <f t="shared" si="9"/>
        <v>0</v>
      </c>
      <c r="AF24" s="112">
        <f t="shared" si="10"/>
        <v>0</v>
      </c>
      <c r="AG24" s="112">
        <f t="shared" si="11"/>
        <v>0</v>
      </c>
      <c r="AH24" s="112">
        <f>IF(E24="",0,VLOOKUP(E24,Datenblatt!$E$2:$G$28,3,FALSE))</f>
        <v>0</v>
      </c>
    </row>
    <row r="25" spans="1:34" ht="13" customHeight="1">
      <c r="A25" s="89" t="str">
        <f>IF(ISERROR(VLOOKUP(C25,Datenblatt!$B$84:$B$97,1,FALSE)),"","Ft")</f>
        <v/>
      </c>
      <c r="B25" s="84">
        <f t="shared" si="0"/>
        <v>45608</v>
      </c>
      <c r="C25" s="86">
        <f t="shared" si="4"/>
        <v>45608</v>
      </c>
      <c r="D25" s="67"/>
      <c r="E25" s="67"/>
      <c r="F25" s="68"/>
      <c r="G25" s="69"/>
      <c r="H25" s="68"/>
      <c r="I25" s="68"/>
      <c r="J25" s="99"/>
      <c r="K25" s="21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20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10" t="str">
        <f>IF(D25="","",IF(E24="ND",VLOOKUP(D25,Datenblatt!$A$2:$C$31,3,FALSE)-1,IF(E24="ND12,5",VLOOKUP(D25,Datenblatt!$A$2:$C$31,3,FALSE)-0.5,VLOOKUP(D25,Datenblatt!$A$2:$C$31,3,FALSE))))</f>
        <v/>
      </c>
      <c r="N25" s="211" t="str">
        <f t="shared" si="2"/>
        <v/>
      </c>
      <c r="O25" s="211" t="str">
        <f t="shared" si="3"/>
        <v/>
      </c>
      <c r="P25" s="186">
        <f>IF(D25="",IF($P$47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$47="Freizeit",(-M25-J25+IF(ISNUMBER(N25),(N25*1.5),0)+IF(ISNUMBER(O25),(O25*2),0)+IF(OR(E25="ND",E25="ND12,5"),2,0)),(-M25-J25)),IF($P$47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103" t="str">
        <f>IF(D25="","",VLOOKUP(D25,Datenblatt!$A$2:$D$31,4,FALSE))</f>
        <v/>
      </c>
      <c r="R25" s="104" t="str">
        <f>IF(E25="","",VLOOKUP(E25,Datenblatt!$E$2:$G$28,2,FALSE))</f>
        <v/>
      </c>
      <c r="S25" s="105"/>
      <c r="T25" s="111">
        <f t="shared" si="5"/>
        <v>0</v>
      </c>
      <c r="U25" s="114">
        <f t="array" ref="U25">IF(T24=0,0,IF(AND((ROW(T24)=MATCH(TRUE,($T$1:$T$43)&gt;0,0)),(D24="ND")),IF(T24&lt;3,T24,3),IF(AND(ROW(T24)=MATCH(TRUE,($T$1:$T$43)&gt;0,0),D24="ND12,5"),IF(T24&lt;2.5,T24,2.5),IF(D24="ND12,5",2.5,(T24-V24-W24)))))</f>
        <v>0</v>
      </c>
      <c r="V25" s="112">
        <f t="array" ref="V25">IF(T25=0,0,IF(AND((ROW(T25)=MATCH(TRUE,($T$1:$T$43)&gt;0,0)),(D25="ND")),IF(AND(T25&gt;11,T25&lt;=25),T25-11,0),IF(AND(ROW(T25)=MATCH(TRUE,($T$1:$T$43)&gt;0,0),D25="ND12,5"),IF(AND(T25&gt;10.5,T25&lt;=12.5),T25-10.5,0),IF(D25="ND12,5",2,IF(T25&lt;14,T25,14)))))</f>
        <v>0</v>
      </c>
      <c r="W25" s="112">
        <f t="array" ref="W25">IF(T25=0,0,IF(AND((ROW(T25)=MATCH(TRUE,($T$1:$T$43)&gt;0,0)),(D25="ND")),IF(AND(T25&gt;3,T25&lt;11),T25-3,IF(T25&gt;=11,8,0)),IF(AND((ROW(T25)=MATCH(TRUE,($T$1:$T$43)&gt;0,0)),(D25="ND12,5")),IF(AND(T25&gt;2.5,T25&lt;10.5),T25-2.5,IF(T25&gt;=10.5,8,0)),IF(D25="ND12,5",8,IF(AND(T25&gt;14,T25&lt;22),(T25-V25),IF(T25&gt;=22,8,0))))))</f>
        <v>0</v>
      </c>
      <c r="X25" s="254">
        <f t="array" ref="X25">IF(T25=0,0,IF((AND((ROW(T25)=MATCH(TRUE,($T$1:$T$43)&gt;0,0)))),IF(W25&gt;=6,W25-6,0),IF(W25&gt;=2,2,W25)))</f>
        <v>0</v>
      </c>
      <c r="Y25" s="254">
        <f t="array" ref="Y25">IF(T24=0,0,(IF((AND((ROW(T24)=MATCH(TRUE,($T$1:$T$43)&gt;0,0)))),IF(W24&gt;=6,6,W24),IF(W24&gt;=2,W24-2,0))))</f>
        <v>0</v>
      </c>
      <c r="Z25" s="111" t="str">
        <f t="shared" si="6"/>
        <v/>
      </c>
      <c r="AA25" s="214">
        <f>IF(E24="ND",IF(ISERROR(MATCH(D25,Datenblatt!$L$2:$L$18,0)),3,2),IF(E24="ND12,5",IF(ISERROR(MATCH(D25,Datenblatt!$L$2:$L$18,0)),2.5,2),0))</f>
        <v>0</v>
      </c>
      <c r="AB25" s="214">
        <f>IF((IF(E25="ND",14-IF(D25="",0,VLOOKUP(D25,Datenblatt!$L$2:$M$30,2,FALSE)),IF(E25="ND12,5",2,0)))&lt;0,0,(IF(E25="ND",14-IF(D25="",0,VLOOKUP(D25,Datenblatt!$L$2:$M$30,2,FALSE)),IF(E25="ND12,5",2,0))))</f>
        <v>0</v>
      </c>
      <c r="AC25" s="214">
        <f t="shared" si="7"/>
        <v>0</v>
      </c>
      <c r="AD25" s="214">
        <f t="shared" si="8"/>
        <v>0</v>
      </c>
      <c r="AE25" s="214">
        <f t="shared" si="9"/>
        <v>0</v>
      </c>
      <c r="AF25" s="112">
        <f t="shared" si="10"/>
        <v>0</v>
      </c>
      <c r="AG25" s="112">
        <f t="shared" si="11"/>
        <v>0</v>
      </c>
      <c r="AH25" s="112">
        <f>IF(E25="",0,VLOOKUP(E25,Datenblatt!$E$2:$G$28,3,FALSE))</f>
        <v>0</v>
      </c>
    </row>
    <row r="26" spans="1:34" ht="13" customHeight="1">
      <c r="A26" s="89" t="str">
        <f>IF(ISERROR(VLOOKUP(C26,Datenblatt!$B$84:$B$97,1,FALSE)),"","Ft")</f>
        <v/>
      </c>
      <c r="B26" s="84">
        <f t="shared" si="0"/>
        <v>45609</v>
      </c>
      <c r="C26" s="86">
        <f t="shared" si="4"/>
        <v>45609</v>
      </c>
      <c r="D26" s="67"/>
      <c r="E26" s="67"/>
      <c r="F26" s="68"/>
      <c r="G26" s="69"/>
      <c r="H26" s="68"/>
      <c r="I26" s="68"/>
      <c r="J26" s="99"/>
      <c r="K26" s="21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20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10" t="str">
        <f>IF(D26="","",IF(E25="ND",VLOOKUP(D26,Datenblatt!$A$2:$C$31,3,FALSE)-1,IF(E25="ND12,5",VLOOKUP(D26,Datenblatt!$A$2:$C$31,3,FALSE)-0.5,VLOOKUP(D26,Datenblatt!$A$2:$C$31,3,FALSE))))</f>
        <v/>
      </c>
      <c r="N26" s="211" t="str">
        <f t="shared" si="2"/>
        <v/>
      </c>
      <c r="O26" s="211" t="str">
        <f t="shared" si="3"/>
        <v/>
      </c>
      <c r="P26" s="186">
        <f>IF(D26="",IF($P$47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$47="Freizeit",(-M26-J26+IF(ISNUMBER(N26),(N26*1.5),0)+IF(ISNUMBER(O26),(O26*2),0)+IF(OR(E26="ND",E26="ND12,5"),2,0)),(-M26-J26)),IF($P$47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103" t="str">
        <f>IF(D26="","",VLOOKUP(D26,Datenblatt!$A$2:$D$31,4,FALSE))</f>
        <v/>
      </c>
      <c r="R26" s="104" t="str">
        <f>IF(E26="","",VLOOKUP(E26,Datenblatt!$E$2:$G$28,2,FALSE))</f>
        <v/>
      </c>
      <c r="S26" s="105"/>
      <c r="T26" s="111">
        <f t="shared" si="5"/>
        <v>0</v>
      </c>
      <c r="U26" s="114">
        <f t="array" ref="U26">IF(T25=0,0,IF(AND((ROW(T25)=MATCH(TRUE,($T$1:$T$43)&gt;0,0)),(D25="ND")),IF(T25&lt;3,T25,3),IF(AND(ROW(T25)=MATCH(TRUE,($T$1:$T$43)&gt;0,0),D25="ND12,5"),IF(T25&lt;2.5,T25,2.5),IF(D25="ND12,5",2.5,(T25-V25-W25)))))</f>
        <v>0</v>
      </c>
      <c r="V26" s="112">
        <f t="array" ref="V26">IF(T26=0,0,IF(AND((ROW(T26)=MATCH(TRUE,($T$1:$T$43)&gt;0,0)),(D26="ND")),IF(AND(T26&gt;11,T26&lt;=25),T26-11,0),IF(AND(ROW(T26)=MATCH(TRUE,($T$1:$T$43)&gt;0,0),D26="ND12,5"),IF(AND(T26&gt;10.5,T26&lt;=12.5),T26-10.5,0),IF(D26="ND12,5",2,IF(T26&lt;14,T26,14)))))</f>
        <v>0</v>
      </c>
      <c r="W26" s="112">
        <f t="array" ref="W26">IF(T26=0,0,IF(AND((ROW(T26)=MATCH(TRUE,($T$1:$T$43)&gt;0,0)),(D26="ND")),IF(AND(T26&gt;3,T26&lt;11),T26-3,IF(T26&gt;=11,8,0)),IF(AND((ROW(T26)=MATCH(TRUE,($T$1:$T$43)&gt;0,0)),(D26="ND12,5")),IF(AND(T26&gt;2.5,T26&lt;10.5),T26-2.5,IF(T26&gt;=10.5,8,0)),IF(D26="ND12,5",8,IF(AND(T26&gt;14,T26&lt;22),(T26-V26),IF(T26&gt;=22,8,0))))))</f>
        <v>0</v>
      </c>
      <c r="X26" s="254">
        <f t="array" ref="X26">IF(T26=0,0,IF((AND((ROW(T26)=MATCH(TRUE,($T$1:$T$43)&gt;0,0)))),IF(W26&gt;=6,W26-6,0),IF(W26&gt;=2,2,W26)))</f>
        <v>0</v>
      </c>
      <c r="Y26" s="254">
        <f t="array" ref="Y26">IF(T25=0,0,(IF((AND((ROW(T25)=MATCH(TRUE,($T$1:$T$43)&gt;0,0)))),IF(W25&gt;=6,6,W25),IF(W25&gt;=2,W25-2,0))))</f>
        <v>0</v>
      </c>
      <c r="Z26" s="111" t="str">
        <f t="shared" si="6"/>
        <v/>
      </c>
      <c r="AA26" s="214">
        <f>IF(E25="ND",IF(ISERROR(MATCH(D26,Datenblatt!$L$2:$L$18,0)),3,2),IF(E25="ND12,5",IF(ISERROR(MATCH(D26,Datenblatt!$L$2:$L$18,0)),2.5,2),0))</f>
        <v>0</v>
      </c>
      <c r="AB26" s="214">
        <f>IF((IF(E26="ND",14-IF(D26="",0,VLOOKUP(D26,Datenblatt!$L$2:$M$30,2,FALSE)),IF(E26="ND12,5",2,0)))&lt;0,0,(IF(E26="ND",14-IF(D26="",0,VLOOKUP(D26,Datenblatt!$L$2:$M$30,2,FALSE)),IF(E26="ND12,5",2,0))))</f>
        <v>0</v>
      </c>
      <c r="AC26" s="214">
        <f t="shared" si="7"/>
        <v>0</v>
      </c>
      <c r="AD26" s="214">
        <f t="shared" si="8"/>
        <v>0</v>
      </c>
      <c r="AE26" s="214">
        <f t="shared" si="9"/>
        <v>0</v>
      </c>
      <c r="AF26" s="112">
        <f t="shared" si="10"/>
        <v>0</v>
      </c>
      <c r="AG26" s="112">
        <f t="shared" si="11"/>
        <v>0</v>
      </c>
      <c r="AH26" s="112">
        <f>IF(E26="",0,VLOOKUP(E26,Datenblatt!$E$2:$G$28,3,FALSE))</f>
        <v>0</v>
      </c>
    </row>
    <row r="27" spans="1:34" ht="13" customHeight="1">
      <c r="A27" s="89" t="str">
        <f>IF(ISERROR(VLOOKUP(C27,Datenblatt!$B$84:$B$97,1,FALSE)),"","Ft")</f>
        <v/>
      </c>
      <c r="B27" s="84">
        <f t="shared" si="0"/>
        <v>45610</v>
      </c>
      <c r="C27" s="86">
        <f t="shared" si="4"/>
        <v>45610</v>
      </c>
      <c r="D27" s="67"/>
      <c r="E27" s="67"/>
      <c r="F27" s="68"/>
      <c r="G27" s="69"/>
      <c r="H27" s="68"/>
      <c r="I27" s="68"/>
      <c r="J27" s="99"/>
      <c r="K27" s="21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20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10" t="str">
        <f>IF(D27="","",IF(E26="ND",VLOOKUP(D27,Datenblatt!$A$2:$C$31,3,FALSE)-1,IF(E26="ND12,5",VLOOKUP(D27,Datenblatt!$A$2:$C$31,3,FALSE)-0.5,VLOOKUP(D27,Datenblatt!$A$2:$C$31,3,FALSE))))</f>
        <v/>
      </c>
      <c r="N27" s="211" t="str">
        <f t="shared" si="2"/>
        <v/>
      </c>
      <c r="O27" s="211" t="str">
        <f t="shared" si="3"/>
        <v/>
      </c>
      <c r="P27" s="186">
        <f>IF(D27="",IF($P$47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$47="Freizeit",(-M27-J27+IF(ISNUMBER(N27),(N27*1.5),0)+IF(ISNUMBER(O27),(O27*2),0)+IF(OR(E27="ND",E27="ND12,5"),2,0)),(-M27-J27)),IF($P$47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103" t="str">
        <f>IF(D27="","",VLOOKUP(D27,Datenblatt!$A$2:$D$31,4,FALSE))</f>
        <v/>
      </c>
      <c r="R27" s="104" t="str">
        <f>IF(E27="","",VLOOKUP(E27,Datenblatt!$E$2:$G$28,2,FALSE))</f>
        <v/>
      </c>
      <c r="S27" s="105"/>
      <c r="T27" s="111">
        <f t="shared" si="5"/>
        <v>0</v>
      </c>
      <c r="U27" s="114">
        <f t="array" ref="U27">IF(T26=0,0,IF(AND((ROW(T26)=MATCH(TRUE,($T$1:$T$43)&gt;0,0)),(D26="ND")),IF(T26&lt;3,T26,3),IF(AND(ROW(T26)=MATCH(TRUE,($T$1:$T$43)&gt;0,0),D26="ND12,5"),IF(T26&lt;2.5,T26,2.5),IF(D26="ND12,5",2.5,(T26-V26-W26)))))</f>
        <v>0</v>
      </c>
      <c r="V27" s="112">
        <f t="array" ref="V27">IF(T27=0,0,IF(AND((ROW(T27)=MATCH(TRUE,($T$1:$T$43)&gt;0,0)),(D27="ND")),IF(AND(T27&gt;11,T27&lt;=25),T27-11,0),IF(AND(ROW(T27)=MATCH(TRUE,($T$1:$T$43)&gt;0,0),D27="ND12,5"),IF(AND(T27&gt;10.5,T27&lt;=12.5),T27-10.5,0),IF(D27="ND12,5",2,IF(T27&lt;14,T27,14)))))</f>
        <v>0</v>
      </c>
      <c r="W27" s="112">
        <f t="array" ref="W27">IF(T27=0,0,IF(AND((ROW(T27)=MATCH(TRUE,($T$1:$T$43)&gt;0,0)),(D27="ND")),IF(AND(T27&gt;3,T27&lt;11),T27-3,IF(T27&gt;=11,8,0)),IF(AND((ROW(T27)=MATCH(TRUE,($T$1:$T$43)&gt;0,0)),(D27="ND12,5")),IF(AND(T27&gt;2.5,T27&lt;10.5),T27-2.5,IF(T27&gt;=10.5,8,0)),IF(D27="ND12,5",8,IF(AND(T27&gt;14,T27&lt;22),(T27-V27),IF(T27&gt;=22,8,0))))))</f>
        <v>0</v>
      </c>
      <c r="X27" s="254">
        <f t="array" ref="X27">IF(T27=0,0,IF((AND((ROW(T27)=MATCH(TRUE,($T$1:$T$43)&gt;0,0)))),IF(W27&gt;=6,W27-6,0),IF(W27&gt;=2,2,W27)))</f>
        <v>0</v>
      </c>
      <c r="Y27" s="254">
        <f t="array" ref="Y27">IF(T26=0,0,(IF((AND((ROW(T26)=MATCH(TRUE,($T$1:$T$43)&gt;0,0)))),IF(W26&gt;=6,6,W26),IF(W26&gt;=2,W26-2,0))))</f>
        <v>0</v>
      </c>
      <c r="Z27" s="111" t="str">
        <f t="shared" si="6"/>
        <v/>
      </c>
      <c r="AA27" s="214">
        <f>IF(E26="ND",IF(ISERROR(MATCH(D27,Datenblatt!$L$2:$L$18,0)),3,2),IF(E26="ND12,5",IF(ISERROR(MATCH(D27,Datenblatt!$L$2:$L$18,0)),2.5,2),0))</f>
        <v>0</v>
      </c>
      <c r="AB27" s="214">
        <f>IF((IF(E27="ND",14-IF(D27="",0,VLOOKUP(D27,Datenblatt!$L$2:$M$30,2,FALSE)),IF(E27="ND12,5",2,0)))&lt;0,0,(IF(E27="ND",14-IF(D27="",0,VLOOKUP(D27,Datenblatt!$L$2:$M$30,2,FALSE)),IF(E27="ND12,5",2,0))))</f>
        <v>0</v>
      </c>
      <c r="AC27" s="214">
        <f t="shared" si="7"/>
        <v>0</v>
      </c>
      <c r="AD27" s="214">
        <f t="shared" si="8"/>
        <v>0</v>
      </c>
      <c r="AE27" s="214">
        <f t="shared" si="9"/>
        <v>0</v>
      </c>
      <c r="AF27" s="112">
        <f t="shared" si="10"/>
        <v>0</v>
      </c>
      <c r="AG27" s="112">
        <f t="shared" si="11"/>
        <v>0</v>
      </c>
      <c r="AH27" s="112">
        <f>IF(E27="",0,VLOOKUP(E27,Datenblatt!$E$2:$G$28,3,FALSE))</f>
        <v>0</v>
      </c>
    </row>
    <row r="28" spans="1:34" ht="13" customHeight="1">
      <c r="A28" s="89" t="str">
        <f>IF(ISERROR(VLOOKUP(C28,Datenblatt!$B$84:$B$97,1,FALSE)),"","Ft")</f>
        <v/>
      </c>
      <c r="B28" s="84">
        <f t="shared" si="0"/>
        <v>45611</v>
      </c>
      <c r="C28" s="86">
        <f t="shared" si="4"/>
        <v>45611</v>
      </c>
      <c r="D28" s="67"/>
      <c r="E28" s="67"/>
      <c r="F28" s="68"/>
      <c r="G28" s="69"/>
      <c r="H28" s="68"/>
      <c r="I28" s="68"/>
      <c r="J28" s="99"/>
      <c r="K28" s="21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20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10" t="str">
        <f>IF(D28="","",IF(E27="ND",VLOOKUP(D28,Datenblatt!$A$2:$C$31,3,FALSE)-1,IF(E27="ND12,5",VLOOKUP(D28,Datenblatt!$A$2:$C$31,3,FALSE)-0.5,VLOOKUP(D28,Datenblatt!$A$2:$C$31,3,FALSE))))</f>
        <v/>
      </c>
      <c r="N28" s="211" t="str">
        <f t="shared" si="2"/>
        <v/>
      </c>
      <c r="O28" s="211" t="str">
        <f t="shared" si="3"/>
        <v/>
      </c>
      <c r="P28" s="186">
        <f>IF(D28="",IF($P$47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$47="Freizeit",(-M28-J28+IF(ISNUMBER(N28),(N28*1.5),0)+IF(ISNUMBER(O28),(O28*2),0)+IF(OR(E28="ND",E28="ND12,5"),2,0)),(-M28-J28)),IF($P$47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103" t="str">
        <f>IF(D28="","",VLOOKUP(D28,Datenblatt!$A$2:$D$31,4,FALSE))</f>
        <v/>
      </c>
      <c r="R28" s="104" t="str">
        <f>IF(E28="","",VLOOKUP(E28,Datenblatt!$E$2:$G$28,2,FALSE))</f>
        <v/>
      </c>
      <c r="S28" s="105"/>
      <c r="T28" s="111">
        <f t="shared" si="5"/>
        <v>0</v>
      </c>
      <c r="U28" s="114">
        <f t="array" ref="U28">IF(T27=0,0,IF(AND((ROW(T27)=MATCH(TRUE,($T$1:$T$43)&gt;0,0)),(D27="ND")),IF(T27&lt;3,T27,3),IF(AND(ROW(T27)=MATCH(TRUE,($T$1:$T$43)&gt;0,0),D27="ND12,5"),IF(T27&lt;2.5,T27,2.5),IF(D27="ND12,5",2.5,(T27-V27-W27)))))</f>
        <v>0</v>
      </c>
      <c r="V28" s="112">
        <f t="array" ref="V28">IF(T28=0,0,IF(AND((ROW(T28)=MATCH(TRUE,($T$1:$T$43)&gt;0,0)),(D28="ND")),IF(AND(T28&gt;11,T28&lt;=25),T28-11,0),IF(AND(ROW(T28)=MATCH(TRUE,($T$1:$T$43)&gt;0,0),D28="ND12,5"),IF(AND(T28&gt;10.5,T28&lt;=12.5),T28-10.5,0),IF(D28="ND12,5",2,IF(T28&lt;14,T28,14)))))</f>
        <v>0</v>
      </c>
      <c r="W28" s="112">
        <f t="array" ref="W28">IF(T28=0,0,IF(AND((ROW(T28)=MATCH(TRUE,($T$1:$T$43)&gt;0,0)),(D28="ND")),IF(AND(T28&gt;3,T28&lt;11),T28-3,IF(T28&gt;=11,8,0)),IF(AND((ROW(T28)=MATCH(TRUE,($T$1:$T$43)&gt;0,0)),(D28="ND12,5")),IF(AND(T28&gt;2.5,T28&lt;10.5),T28-2.5,IF(T28&gt;=10.5,8,0)),IF(D28="ND12,5",8,IF(AND(T28&gt;14,T28&lt;22),(T28-V28),IF(T28&gt;=22,8,0))))))</f>
        <v>0</v>
      </c>
      <c r="X28" s="254">
        <f t="array" ref="X28">IF(T28=0,0,IF((AND((ROW(T28)=MATCH(TRUE,($T$1:$T$43)&gt;0,0)))),IF(W28&gt;=6,W28-6,0),IF(W28&gt;=2,2,W28)))</f>
        <v>0</v>
      </c>
      <c r="Y28" s="254">
        <f t="array" ref="Y28">IF(T27=0,0,(IF((AND((ROW(T27)=MATCH(TRUE,($T$1:$T$43)&gt;0,0)))),IF(W27&gt;=6,6,W27),IF(W27&gt;=2,W27-2,0))))</f>
        <v>0</v>
      </c>
      <c r="Z28" s="111" t="str">
        <f t="shared" si="6"/>
        <v/>
      </c>
      <c r="AA28" s="214">
        <f>IF(E27="ND",IF(ISERROR(MATCH(D28,Datenblatt!$L$2:$L$18,0)),3,2),IF(E27="ND12,5",IF(ISERROR(MATCH(D28,Datenblatt!$L$2:$L$18,0)),2.5,2),0))</f>
        <v>0</v>
      </c>
      <c r="AB28" s="214">
        <f>IF((IF(E28="ND",14-IF(D28="",0,VLOOKUP(D28,Datenblatt!$L$2:$M$30,2,FALSE)),IF(E28="ND12,5",2,0)))&lt;0,0,(IF(E28="ND",14-IF(D28="",0,VLOOKUP(D28,Datenblatt!$L$2:$M$30,2,FALSE)),IF(E28="ND12,5",2,0))))</f>
        <v>0</v>
      </c>
      <c r="AC28" s="214">
        <f t="shared" si="7"/>
        <v>0</v>
      </c>
      <c r="AD28" s="214">
        <f t="shared" si="8"/>
        <v>0</v>
      </c>
      <c r="AE28" s="214">
        <f t="shared" si="9"/>
        <v>0</v>
      </c>
      <c r="AF28" s="112">
        <f t="shared" si="10"/>
        <v>0</v>
      </c>
      <c r="AG28" s="112">
        <f t="shared" si="11"/>
        <v>0</v>
      </c>
      <c r="AH28" s="112">
        <f>IF(E28="",0,VLOOKUP(E28,Datenblatt!$E$2:$G$28,3,FALSE))</f>
        <v>0</v>
      </c>
    </row>
    <row r="29" spans="1:34" ht="13" customHeight="1">
      <c r="A29" s="89" t="str">
        <f>IF(ISERROR(VLOOKUP(C29,Datenblatt!$B$84:$B$97,1,FALSE)),"","Ft")</f>
        <v/>
      </c>
      <c r="B29" s="84">
        <f t="shared" si="0"/>
        <v>45612</v>
      </c>
      <c r="C29" s="86">
        <f t="shared" si="4"/>
        <v>45612</v>
      </c>
      <c r="D29" s="67"/>
      <c r="E29" s="67"/>
      <c r="F29" s="68"/>
      <c r="G29" s="69"/>
      <c r="H29" s="68"/>
      <c r="I29" s="68"/>
      <c r="J29" s="99"/>
      <c r="K29" s="21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20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10" t="str">
        <f>IF(D29="","",IF(E28="ND",VLOOKUP(D29,Datenblatt!$A$2:$C$31,3,FALSE)-1,IF(E28="ND12,5",VLOOKUP(D29,Datenblatt!$A$2:$C$31,3,FALSE)-0.5,VLOOKUP(D29,Datenblatt!$A$2:$C$31,3,FALSE))))</f>
        <v/>
      </c>
      <c r="N29" s="211" t="str">
        <f t="shared" si="2"/>
        <v/>
      </c>
      <c r="O29" s="211" t="str">
        <f t="shared" si="3"/>
        <v/>
      </c>
      <c r="P29" s="186">
        <f>IF(D29="",IF($P$47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$47="Freizeit",(-M29-J29+IF(ISNUMBER(N29),(N29*1.5),0)+IF(ISNUMBER(O29),(O29*2),0)+IF(OR(E29="ND",E29="ND12,5"),2,0)),(-M29-J29)),IF($P$47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103" t="str">
        <f>IF(D29="","",VLOOKUP(D29,Datenblatt!$A$2:$D$31,4,FALSE))</f>
        <v/>
      </c>
      <c r="R29" s="104" t="str">
        <f>IF(E29="","",VLOOKUP(E29,Datenblatt!$E$2:$G$28,2,FALSE))</f>
        <v/>
      </c>
      <c r="S29" s="105"/>
      <c r="T29" s="111">
        <f t="shared" si="5"/>
        <v>0</v>
      </c>
      <c r="U29" s="114">
        <f t="array" ref="U29">IF(T28=0,0,IF(AND((ROW(T28)=MATCH(TRUE,($T$1:$T$43)&gt;0,0)),(D28="ND")),IF(T28&lt;3,T28,3),IF(AND(ROW(T28)=MATCH(TRUE,($T$1:$T$43)&gt;0,0),D28="ND12,5"),IF(T28&lt;2.5,T28,2.5),IF(D28="ND12,5",2.5,(T28-V28-W28)))))</f>
        <v>0</v>
      </c>
      <c r="V29" s="112">
        <f t="array" ref="V29">IF(T29=0,0,IF(AND((ROW(T29)=MATCH(TRUE,($T$1:$T$43)&gt;0,0)),(D29="ND")),IF(AND(T29&gt;11,T29&lt;=25),T29-11,0),IF(AND(ROW(T29)=MATCH(TRUE,($T$1:$T$43)&gt;0,0),D29="ND12,5"),IF(AND(T29&gt;10.5,T29&lt;=12.5),T29-10.5,0),IF(D29="ND12,5",2,IF(T29&lt;14,T29,14)))))</f>
        <v>0</v>
      </c>
      <c r="W29" s="112">
        <f t="array" ref="W29">IF(T29=0,0,IF(AND((ROW(T29)=MATCH(TRUE,($T$1:$T$43)&gt;0,0)),(D29="ND")),IF(AND(T29&gt;3,T29&lt;11),T29-3,IF(T29&gt;=11,8,0)),IF(AND((ROW(T29)=MATCH(TRUE,($T$1:$T$43)&gt;0,0)),(D29="ND12,5")),IF(AND(T29&gt;2.5,T29&lt;10.5),T29-2.5,IF(T29&gt;=10.5,8,0)),IF(D29="ND12,5",8,IF(AND(T29&gt;14,T29&lt;22),(T29-V29),IF(T29&gt;=22,8,0))))))</f>
        <v>0</v>
      </c>
      <c r="X29" s="254">
        <f t="array" ref="X29">IF(T29=0,0,IF((AND((ROW(T29)=MATCH(TRUE,($T$1:$T$43)&gt;0,0)))),IF(W29&gt;=6,W29-6,0),IF(W29&gt;=2,2,W29)))</f>
        <v>0</v>
      </c>
      <c r="Y29" s="254">
        <f t="array" ref="Y29">IF(T28=0,0,(IF((AND((ROW(T28)=MATCH(TRUE,($T$1:$T$43)&gt;0,0)))),IF(W28&gt;=6,6,W28),IF(W28&gt;=2,W28-2,0))))</f>
        <v>0</v>
      </c>
      <c r="Z29" s="111" t="str">
        <f t="shared" si="6"/>
        <v/>
      </c>
      <c r="AA29" s="214">
        <f>IF(E28="ND",IF(ISERROR(MATCH(D29,Datenblatt!$L$2:$L$18,0)),3,2),IF(E28="ND12,5",IF(ISERROR(MATCH(D29,Datenblatt!$L$2:$L$18,0)),2.5,2),0))</f>
        <v>0</v>
      </c>
      <c r="AB29" s="214">
        <f>IF((IF(E29="ND",14-IF(D29="",0,VLOOKUP(D29,Datenblatt!$L$2:$M$30,2,FALSE)),IF(E29="ND12,5",2,0)))&lt;0,0,(IF(E29="ND",14-IF(D29="",0,VLOOKUP(D29,Datenblatt!$L$2:$M$30,2,FALSE)),IF(E29="ND12,5",2,0))))</f>
        <v>0</v>
      </c>
      <c r="AC29" s="214">
        <f t="shared" si="7"/>
        <v>0</v>
      </c>
      <c r="AD29" s="214">
        <f t="shared" si="8"/>
        <v>0</v>
      </c>
      <c r="AE29" s="214">
        <f t="shared" si="9"/>
        <v>0</v>
      </c>
      <c r="AF29" s="112">
        <f t="shared" si="10"/>
        <v>0</v>
      </c>
      <c r="AG29" s="112">
        <f t="shared" si="11"/>
        <v>0</v>
      </c>
      <c r="AH29" s="112">
        <f>IF(E29="",0,VLOOKUP(E29,Datenblatt!$E$2:$G$28,3,FALSE))</f>
        <v>0</v>
      </c>
    </row>
    <row r="30" spans="1:34" ht="13" customHeight="1">
      <c r="A30" s="89" t="str">
        <f>IF(ISERROR(VLOOKUP(C30,Datenblatt!$B$84:$B$97,1,FALSE)),"","Ft")</f>
        <v/>
      </c>
      <c r="B30" s="84">
        <f t="shared" si="0"/>
        <v>45613</v>
      </c>
      <c r="C30" s="86">
        <f t="shared" si="4"/>
        <v>45613</v>
      </c>
      <c r="D30" s="67"/>
      <c r="E30" s="67"/>
      <c r="F30" s="68"/>
      <c r="G30" s="69"/>
      <c r="H30" s="68"/>
      <c r="I30" s="68"/>
      <c r="J30" s="99"/>
      <c r="K30" s="21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20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10" t="str">
        <f>IF(D30="","",IF(E29="ND",VLOOKUP(D30,Datenblatt!$A$2:$C$31,3,FALSE)-1,IF(E29="ND12,5",VLOOKUP(D30,Datenblatt!$A$2:$C$31,3,FALSE)-0.5,VLOOKUP(D30,Datenblatt!$A$2:$C$31,3,FALSE))))</f>
        <v/>
      </c>
      <c r="N30" s="211" t="str">
        <f t="shared" si="2"/>
        <v/>
      </c>
      <c r="O30" s="211">
        <f t="shared" si="3"/>
        <v>0</v>
      </c>
      <c r="P30" s="186">
        <f>IF(D30="",IF($P$47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$47="Freizeit",(-M30-J30+IF(ISNUMBER(N30),(N30*1.5),0)+IF(ISNUMBER(O30),(O30*2),0)+IF(OR(E30="ND",E30="ND12,5"),2,0)),(-M30-J30)),IF($P$47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103" t="str">
        <f>IF(D30="","",VLOOKUP(D30,Datenblatt!$A$2:$D$31,4,FALSE))</f>
        <v/>
      </c>
      <c r="R30" s="104" t="str">
        <f>IF(E30="","",VLOOKUP(E30,Datenblatt!$E$2:$G$28,2,FALSE))</f>
        <v/>
      </c>
      <c r="S30" s="105"/>
      <c r="T30" s="111">
        <f t="shared" si="5"/>
        <v>0</v>
      </c>
      <c r="U30" s="114">
        <f t="array" ref="U30">IF(T29=0,0,IF(AND((ROW(T29)=MATCH(TRUE,($T$1:$T$43)&gt;0,0)),(D29="ND")),IF(T29&lt;3,T29,3),IF(AND(ROW(T29)=MATCH(TRUE,($T$1:$T$43)&gt;0,0),D29="ND12,5"),IF(T29&lt;2.5,T29,2.5),IF(D29="ND12,5",2.5,(T29-V29-W29)))))</f>
        <v>0</v>
      </c>
      <c r="V30" s="112">
        <f t="array" ref="V30">IF(T30=0,0,IF(AND((ROW(T30)=MATCH(TRUE,($T$1:$T$43)&gt;0,0)),(D30="ND")),IF(AND(T30&gt;11,T30&lt;=25),T30-11,0),IF(AND(ROW(T30)=MATCH(TRUE,($T$1:$T$43)&gt;0,0),D30="ND12,5"),IF(AND(T30&gt;10.5,T30&lt;=12.5),T30-10.5,0),IF(D30="ND12,5",2,IF(T30&lt;14,T30,14)))))</f>
        <v>0</v>
      </c>
      <c r="W30" s="112">
        <f t="array" ref="W30">IF(T30=0,0,IF(AND((ROW(T30)=MATCH(TRUE,($T$1:$T$43)&gt;0,0)),(D30="ND")),IF(AND(T30&gt;3,T30&lt;11),T30-3,IF(T30&gt;=11,8,0)),IF(AND((ROW(T30)=MATCH(TRUE,($T$1:$T$43)&gt;0,0)),(D30="ND12,5")),IF(AND(T30&gt;2.5,T30&lt;10.5),T30-2.5,IF(T30&gt;=10.5,8,0)),IF(D30="ND12,5",8,IF(AND(T30&gt;14,T30&lt;22),(T30-V30),IF(T30&gt;=22,8,0))))))</f>
        <v>0</v>
      </c>
      <c r="X30" s="254">
        <f t="array" ref="X30">IF(T30=0,0,IF((AND((ROW(T30)=MATCH(TRUE,($T$1:$T$43)&gt;0,0)))),IF(W30&gt;=6,W30-6,0),IF(W30&gt;=2,2,W30)))</f>
        <v>0</v>
      </c>
      <c r="Y30" s="254">
        <f t="array" ref="Y30">IF(T29=0,0,(IF((AND((ROW(T29)=MATCH(TRUE,($T$1:$T$43)&gt;0,0)))),IF(W29&gt;=6,6,W29),IF(W29&gt;=2,W29-2,0))))</f>
        <v>0</v>
      </c>
      <c r="Z30" s="111" t="str">
        <f t="shared" si="6"/>
        <v/>
      </c>
      <c r="AA30" s="214">
        <f>IF(E29="ND",IF(ISERROR(MATCH(D30,Datenblatt!$L$2:$L$18,0)),3,2),IF(E29="ND12,5",IF(ISERROR(MATCH(D30,Datenblatt!$L$2:$L$18,0)),2.5,2),0))</f>
        <v>0</v>
      </c>
      <c r="AB30" s="214">
        <f>IF((IF(E30="ND",14-IF(D30="",0,VLOOKUP(D30,Datenblatt!$L$2:$M$30,2,FALSE)),IF(E30="ND12,5",2,0)))&lt;0,0,(IF(E30="ND",14-IF(D30="",0,VLOOKUP(D30,Datenblatt!$L$2:$M$30,2,FALSE)),IF(E30="ND12,5",2,0))))</f>
        <v>0</v>
      </c>
      <c r="AC30" s="214">
        <f t="shared" si="7"/>
        <v>0</v>
      </c>
      <c r="AD30" s="214">
        <f t="shared" si="8"/>
        <v>0</v>
      </c>
      <c r="AE30" s="214">
        <f t="shared" si="9"/>
        <v>0</v>
      </c>
      <c r="AF30" s="112">
        <f t="shared" si="10"/>
        <v>0</v>
      </c>
      <c r="AG30" s="112">
        <f t="shared" si="11"/>
        <v>0</v>
      </c>
      <c r="AH30" s="112">
        <f>IF(E30="",0,VLOOKUP(E30,Datenblatt!$E$2:$G$28,3,FALSE))</f>
        <v>0</v>
      </c>
    </row>
    <row r="31" spans="1:34" ht="13" customHeight="1">
      <c r="A31" s="89" t="str">
        <f>IF(ISERROR(VLOOKUP(C31,Datenblatt!$B$84:$B$97,1,FALSE)),"","Ft")</f>
        <v/>
      </c>
      <c r="B31" s="84">
        <f t="shared" si="0"/>
        <v>45614</v>
      </c>
      <c r="C31" s="86">
        <f t="shared" si="4"/>
        <v>45614</v>
      </c>
      <c r="D31" s="67"/>
      <c r="E31" s="67"/>
      <c r="F31" s="68"/>
      <c r="G31" s="69"/>
      <c r="H31" s="68"/>
      <c r="I31" s="68"/>
      <c r="J31" s="99"/>
      <c r="K31" s="21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20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10" t="str">
        <f>IF(D31="","",IF(E30="ND",VLOOKUP(D31,Datenblatt!$A$2:$C$31,3,FALSE)-1,IF(E30="ND12,5",VLOOKUP(D31,Datenblatt!$A$2:$C$31,3,FALSE)-0.5,VLOOKUP(D31,Datenblatt!$A$2:$C$31,3,FALSE))))</f>
        <v/>
      </c>
      <c r="N31" s="211" t="str">
        <f t="shared" si="2"/>
        <v/>
      </c>
      <c r="O31" s="211" t="str">
        <f t="shared" si="3"/>
        <v/>
      </c>
      <c r="P31" s="186">
        <f>IF(D31="",IF($P$47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$47="Freizeit",(-M31-J31+IF(ISNUMBER(N31),(N31*1.5),0)+IF(ISNUMBER(O31),(O31*2),0)+IF(OR(E31="ND",E31="ND12,5"),2,0)),(-M31-J31)),IF($P$47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103" t="str">
        <f>IF(D31="","",VLOOKUP(D31,Datenblatt!$A$2:$D$31,4,FALSE))</f>
        <v/>
      </c>
      <c r="R31" s="104" t="str">
        <f>IF(E31="","",VLOOKUP(E31,Datenblatt!$E$2:$G$28,2,FALSE))</f>
        <v/>
      </c>
      <c r="S31" s="105"/>
      <c r="T31" s="111">
        <f t="shared" si="5"/>
        <v>0</v>
      </c>
      <c r="U31" s="114">
        <f t="array" ref="U31">IF(T30=0,0,IF(AND((ROW(T30)=MATCH(TRUE,($T$1:$T$43)&gt;0,0)),(D30="ND")),IF(T30&lt;3,T30,3),IF(AND(ROW(T30)=MATCH(TRUE,($T$1:$T$43)&gt;0,0),D30="ND12,5"),IF(T30&lt;2.5,T30,2.5),IF(D30="ND12,5",2.5,(T30-V30-W30)))))</f>
        <v>0</v>
      </c>
      <c r="V31" s="112">
        <f t="array" ref="V31">IF(T31=0,0,IF(AND((ROW(T31)=MATCH(TRUE,($T$1:$T$43)&gt;0,0)),(D31="ND")),IF(AND(T31&gt;11,T31&lt;=25),T31-11,0),IF(AND(ROW(T31)=MATCH(TRUE,($T$1:$T$43)&gt;0,0),D31="ND12,5"),IF(AND(T31&gt;10.5,T31&lt;=12.5),T31-10.5,0),IF(D31="ND12,5",2,IF(T31&lt;14,T31,14)))))</f>
        <v>0</v>
      </c>
      <c r="W31" s="112">
        <f t="array" ref="W31">IF(T31=0,0,IF(AND((ROW(T31)=MATCH(TRUE,($T$1:$T$43)&gt;0,0)),(D31="ND")),IF(AND(T31&gt;3,T31&lt;11),T31-3,IF(T31&gt;=11,8,0)),IF(AND((ROW(T31)=MATCH(TRUE,($T$1:$T$43)&gt;0,0)),(D31="ND12,5")),IF(AND(T31&gt;2.5,T31&lt;10.5),T31-2.5,IF(T31&gt;=10.5,8,0)),IF(D31="ND12,5",8,IF(AND(T31&gt;14,T31&lt;22),(T31-V31),IF(T31&gt;=22,8,0))))))</f>
        <v>0</v>
      </c>
      <c r="X31" s="254">
        <f t="array" ref="X31">IF(T31=0,0,IF((AND((ROW(T31)=MATCH(TRUE,($T$1:$T$43)&gt;0,0)))),IF(W31&gt;=6,W31-6,0),IF(W31&gt;=2,2,W31)))</f>
        <v>0</v>
      </c>
      <c r="Y31" s="254">
        <f t="array" ref="Y31">IF(T30=0,0,(IF((AND((ROW(T30)=MATCH(TRUE,($T$1:$T$43)&gt;0,0)))),IF(W30&gt;=6,6,W30),IF(W30&gt;=2,W30-2,0))))</f>
        <v>0</v>
      </c>
      <c r="Z31" s="111" t="str">
        <f t="shared" si="6"/>
        <v/>
      </c>
      <c r="AA31" s="214">
        <f>IF(E30="ND",IF(ISERROR(MATCH(D31,Datenblatt!$L$2:$L$18,0)),3,2),IF(E30="ND12,5",IF(ISERROR(MATCH(D31,Datenblatt!$L$2:$L$18,0)),2.5,2),0))</f>
        <v>0</v>
      </c>
      <c r="AB31" s="214">
        <f>IF((IF(E31="ND",14-IF(D31="",0,VLOOKUP(D31,Datenblatt!$L$2:$M$30,2,FALSE)),IF(E31="ND12,5",2,0)))&lt;0,0,(IF(E31="ND",14-IF(D31="",0,VLOOKUP(D31,Datenblatt!$L$2:$M$30,2,FALSE)),IF(E31="ND12,5",2,0))))</f>
        <v>0</v>
      </c>
      <c r="AC31" s="214">
        <f t="shared" si="7"/>
        <v>0</v>
      </c>
      <c r="AD31" s="214">
        <f t="shared" si="8"/>
        <v>0</v>
      </c>
      <c r="AE31" s="214">
        <f t="shared" si="9"/>
        <v>0</v>
      </c>
      <c r="AF31" s="112">
        <f t="shared" si="10"/>
        <v>0</v>
      </c>
      <c r="AG31" s="112">
        <f t="shared" si="11"/>
        <v>0</v>
      </c>
      <c r="AH31" s="112">
        <f>IF(E31="",0,VLOOKUP(E31,Datenblatt!$E$2:$G$28,3,FALSE))</f>
        <v>0</v>
      </c>
    </row>
    <row r="32" spans="1:34" ht="13" customHeight="1">
      <c r="A32" s="89" t="str">
        <f>IF(ISERROR(VLOOKUP(C32,Datenblatt!$B$84:$B$97,1,FALSE)),"","Ft")</f>
        <v/>
      </c>
      <c r="B32" s="84">
        <f t="shared" si="0"/>
        <v>45615</v>
      </c>
      <c r="C32" s="86">
        <f t="shared" si="4"/>
        <v>45615</v>
      </c>
      <c r="D32" s="67"/>
      <c r="E32" s="67"/>
      <c r="F32" s="68"/>
      <c r="G32" s="69"/>
      <c r="H32" s="68"/>
      <c r="I32" s="68"/>
      <c r="J32" s="99"/>
      <c r="K32" s="21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20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10" t="str">
        <f>IF(D32="","",IF(E31="ND",VLOOKUP(D32,Datenblatt!$A$2:$C$31,3,FALSE)-1,IF(E31="ND12,5",VLOOKUP(D32,Datenblatt!$A$2:$C$31,3,FALSE)-0.5,VLOOKUP(D32,Datenblatt!$A$2:$C$31,3,FALSE))))</f>
        <v/>
      </c>
      <c r="N32" s="211" t="str">
        <f t="shared" si="2"/>
        <v/>
      </c>
      <c r="O32" s="211" t="str">
        <f t="shared" si="3"/>
        <v/>
      </c>
      <c r="P32" s="186">
        <f>IF(D32="",IF($P$47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$47="Freizeit",(-M32-J32+IF(ISNUMBER(N32),(N32*1.5),0)+IF(ISNUMBER(O32),(O32*2),0)+IF(OR(E32="ND",E32="ND12,5"),2,0)),(-M32-J32)),IF($P$47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103" t="str">
        <f>IF(D32="","",VLOOKUP(D32,Datenblatt!$A$2:$D$31,4,FALSE))</f>
        <v/>
      </c>
      <c r="R32" s="104" t="str">
        <f>IF(E32="","",VLOOKUP(E32,Datenblatt!$E$2:$G$28,2,FALSE))</f>
        <v/>
      </c>
      <c r="S32" s="105"/>
      <c r="T32" s="111">
        <f t="shared" si="5"/>
        <v>0</v>
      </c>
      <c r="U32" s="114">
        <f t="array" ref="U32">IF(T31=0,0,IF(AND((ROW(T31)=MATCH(TRUE,($T$1:$T$43)&gt;0,0)),(D31="ND")),IF(T31&lt;3,T31,3),IF(AND(ROW(T31)=MATCH(TRUE,($T$1:$T$43)&gt;0,0),D31="ND12,5"),IF(T31&lt;2.5,T31,2.5),IF(D31="ND12,5",2.5,(T31-V31-W31)))))</f>
        <v>0</v>
      </c>
      <c r="V32" s="112">
        <f t="array" ref="V32">IF(T32=0,0,IF(AND((ROW(T32)=MATCH(TRUE,($T$1:$T$43)&gt;0,0)),(D32="ND")),IF(AND(T32&gt;11,T32&lt;=25),T32-11,0),IF(AND(ROW(T32)=MATCH(TRUE,($T$1:$T$43)&gt;0,0),D32="ND12,5"),IF(AND(T32&gt;10.5,T32&lt;=12.5),T32-10.5,0),IF(D32="ND12,5",2,IF(T32&lt;14,T32,14)))))</f>
        <v>0</v>
      </c>
      <c r="W32" s="112">
        <f t="array" ref="W32">IF(T32=0,0,IF(AND((ROW(T32)=MATCH(TRUE,($T$1:$T$43)&gt;0,0)),(D32="ND")),IF(AND(T32&gt;3,T32&lt;11),T32-3,IF(T32&gt;=11,8,0)),IF(AND((ROW(T32)=MATCH(TRUE,($T$1:$T$43)&gt;0,0)),(D32="ND12,5")),IF(AND(T32&gt;2.5,T32&lt;10.5),T32-2.5,IF(T32&gt;=10.5,8,0)),IF(D32="ND12,5",8,IF(AND(T32&gt;14,T32&lt;22),(T32-V32),IF(T32&gt;=22,8,0))))))</f>
        <v>0</v>
      </c>
      <c r="X32" s="254">
        <f t="array" ref="X32">IF(T32=0,0,IF((AND((ROW(T32)=MATCH(TRUE,($T$1:$T$43)&gt;0,0)))),IF(W32&gt;=6,W32-6,0),IF(W32&gt;=2,2,W32)))</f>
        <v>0</v>
      </c>
      <c r="Y32" s="254">
        <f t="array" ref="Y32">IF(T31=0,0,(IF((AND((ROW(T31)=MATCH(TRUE,($T$1:$T$43)&gt;0,0)))),IF(W31&gt;=6,6,W31),IF(W31&gt;=2,W31-2,0))))</f>
        <v>0</v>
      </c>
      <c r="Z32" s="111" t="str">
        <f t="shared" si="6"/>
        <v/>
      </c>
      <c r="AA32" s="214">
        <f>IF(E31="ND",IF(ISERROR(MATCH(D32,Datenblatt!$L$2:$L$18,0)),3,2),IF(E31="ND12,5",IF(ISERROR(MATCH(D32,Datenblatt!$L$2:$L$18,0)),2.5,2),0))</f>
        <v>0</v>
      </c>
      <c r="AB32" s="214">
        <f>IF((IF(E32="ND",14-IF(D32="",0,VLOOKUP(D32,Datenblatt!$L$2:$M$30,2,FALSE)),IF(E32="ND12,5",2,0)))&lt;0,0,(IF(E32="ND",14-IF(D32="",0,VLOOKUP(D32,Datenblatt!$L$2:$M$30,2,FALSE)),IF(E32="ND12,5",2,0))))</f>
        <v>0</v>
      </c>
      <c r="AC32" s="214">
        <f t="shared" si="7"/>
        <v>0</v>
      </c>
      <c r="AD32" s="214">
        <f t="shared" si="8"/>
        <v>0</v>
      </c>
      <c r="AE32" s="214">
        <f t="shared" si="9"/>
        <v>0</v>
      </c>
      <c r="AF32" s="112">
        <f t="shared" si="10"/>
        <v>0</v>
      </c>
      <c r="AG32" s="112">
        <f t="shared" si="11"/>
        <v>0</v>
      </c>
      <c r="AH32" s="112">
        <f>IF(E32="",0,VLOOKUP(E32,Datenblatt!$E$2:$G$28,3,FALSE))</f>
        <v>0</v>
      </c>
    </row>
    <row r="33" spans="1:34" ht="13" customHeight="1">
      <c r="A33" s="89" t="str">
        <f>IF(ISERROR(VLOOKUP(C33,Datenblatt!$B$84:$B$97,1,FALSE)),"","Ft")</f>
        <v/>
      </c>
      <c r="B33" s="84">
        <f t="shared" si="0"/>
        <v>45616</v>
      </c>
      <c r="C33" s="86">
        <f t="shared" si="4"/>
        <v>45616</v>
      </c>
      <c r="D33" s="67"/>
      <c r="E33" s="67"/>
      <c r="F33" s="68"/>
      <c r="G33" s="69"/>
      <c r="H33" s="68"/>
      <c r="I33" s="68"/>
      <c r="J33" s="99"/>
      <c r="K33" s="21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20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10" t="str">
        <f>IF(D33="","",IF(E32="ND",VLOOKUP(D33,Datenblatt!$A$2:$C$31,3,FALSE)-1,IF(E32="ND12,5",VLOOKUP(D33,Datenblatt!$A$2:$C$31,3,FALSE)-0.5,VLOOKUP(D33,Datenblatt!$A$2:$C$31,3,FALSE))))</f>
        <v/>
      </c>
      <c r="N33" s="211" t="str">
        <f t="shared" si="2"/>
        <v/>
      </c>
      <c r="O33" s="211" t="str">
        <f t="shared" si="3"/>
        <v/>
      </c>
      <c r="P33" s="186">
        <f>IF(D33="",IF($P$47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$47="Freizeit",(-M33-J33+IF(ISNUMBER(N33),(N33*1.5),0)+IF(ISNUMBER(O33),(O33*2),0)+IF(OR(E33="ND",E33="ND12,5"),2,0)),(-M33-J33)),IF($P$47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103" t="str">
        <f>IF(D33="","",VLOOKUP(D33,Datenblatt!$A$2:$D$31,4,FALSE))</f>
        <v/>
      </c>
      <c r="R33" s="104" t="str">
        <f>IF(E33="","",VLOOKUP(E33,Datenblatt!$E$2:$G$28,2,FALSE))</f>
        <v/>
      </c>
      <c r="S33" s="105"/>
      <c r="T33" s="111">
        <f t="shared" si="5"/>
        <v>0</v>
      </c>
      <c r="U33" s="114">
        <f t="array" ref="U33">IF(T32=0,0,IF(AND((ROW(T32)=MATCH(TRUE,($T$1:$T$43)&gt;0,0)),(D32="ND")),IF(T32&lt;3,T32,3),IF(AND(ROW(T32)=MATCH(TRUE,($T$1:$T$43)&gt;0,0),D32="ND12,5"),IF(T32&lt;2.5,T32,2.5),IF(D32="ND12,5",2.5,(T32-V32-W32)))))</f>
        <v>0</v>
      </c>
      <c r="V33" s="112">
        <f t="array" ref="V33">IF(T33=0,0,IF(AND((ROW(T33)=MATCH(TRUE,($T$1:$T$43)&gt;0,0)),(D33="ND")),IF(AND(T33&gt;11,T33&lt;=25),T33-11,0),IF(AND(ROW(T33)=MATCH(TRUE,($T$1:$T$43)&gt;0,0),D33="ND12,5"),IF(AND(T33&gt;10.5,T33&lt;=12.5),T33-10.5,0),IF(D33="ND12,5",2,IF(T33&lt;14,T33,14)))))</f>
        <v>0</v>
      </c>
      <c r="W33" s="112">
        <f t="array" ref="W33">IF(T33=0,0,IF(AND((ROW(T33)=MATCH(TRUE,($T$1:$T$43)&gt;0,0)),(D33="ND")),IF(AND(T33&gt;3,T33&lt;11),T33-3,IF(T33&gt;=11,8,0)),IF(AND((ROW(T33)=MATCH(TRUE,($T$1:$T$43)&gt;0,0)),(D33="ND12,5")),IF(AND(T33&gt;2.5,T33&lt;10.5),T33-2.5,IF(T33&gt;=10.5,8,0)),IF(D33="ND12,5",8,IF(AND(T33&gt;14,T33&lt;22),(T33-V33),IF(T33&gt;=22,8,0))))))</f>
        <v>0</v>
      </c>
      <c r="X33" s="254">
        <f t="array" ref="X33">IF(T33=0,0,IF((AND((ROW(T33)=MATCH(TRUE,($T$1:$T$43)&gt;0,0)))),IF(W33&gt;=6,W33-6,0),IF(W33&gt;=2,2,W33)))</f>
        <v>0</v>
      </c>
      <c r="Y33" s="254">
        <f t="array" ref="Y33">IF(T32=0,0,(IF((AND((ROW(T32)=MATCH(TRUE,($T$1:$T$43)&gt;0,0)))),IF(W32&gt;=6,6,W32),IF(W32&gt;=2,W32-2,0))))</f>
        <v>0</v>
      </c>
      <c r="Z33" s="111" t="str">
        <f t="shared" si="6"/>
        <v/>
      </c>
      <c r="AA33" s="214">
        <f>IF(E32="ND",IF(ISERROR(MATCH(D33,Datenblatt!$L$2:$L$18,0)),3,2),IF(E32="ND12,5",IF(ISERROR(MATCH(D33,Datenblatt!$L$2:$L$18,0)),2.5,2),0))</f>
        <v>0</v>
      </c>
      <c r="AB33" s="214">
        <f>IF((IF(E33="ND",14-IF(D33="",0,VLOOKUP(D33,Datenblatt!$L$2:$M$30,2,FALSE)),IF(E33="ND12,5",2,0)))&lt;0,0,(IF(E33="ND",14-IF(D33="",0,VLOOKUP(D33,Datenblatt!$L$2:$M$30,2,FALSE)),IF(E33="ND12,5",2,0))))</f>
        <v>0</v>
      </c>
      <c r="AC33" s="214">
        <f t="shared" si="7"/>
        <v>0</v>
      </c>
      <c r="AD33" s="214">
        <f t="shared" si="8"/>
        <v>0</v>
      </c>
      <c r="AE33" s="214">
        <f t="shared" si="9"/>
        <v>0</v>
      </c>
      <c r="AF33" s="112">
        <f t="shared" si="10"/>
        <v>0</v>
      </c>
      <c r="AG33" s="112">
        <f t="shared" si="11"/>
        <v>0</v>
      </c>
      <c r="AH33" s="112">
        <f>IF(E33="",0,VLOOKUP(E33,Datenblatt!$E$2:$G$28,3,FALSE))</f>
        <v>0</v>
      </c>
    </row>
    <row r="34" spans="1:34" ht="13" customHeight="1">
      <c r="A34" s="89" t="str">
        <f>IF(ISERROR(VLOOKUP(C34,Datenblatt!$B$84:$B$97,1,FALSE)),"","Ft")</f>
        <v/>
      </c>
      <c r="B34" s="84">
        <f t="shared" si="0"/>
        <v>45617</v>
      </c>
      <c r="C34" s="86">
        <f t="shared" si="4"/>
        <v>45617</v>
      </c>
      <c r="D34" s="67"/>
      <c r="E34" s="67"/>
      <c r="F34" s="68"/>
      <c r="G34" s="69"/>
      <c r="H34" s="68"/>
      <c r="I34" s="68"/>
      <c r="J34" s="99"/>
      <c r="K34" s="21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20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10" t="str">
        <f>IF(D34="","",IF(E33="ND",VLOOKUP(D34,Datenblatt!$A$2:$C$31,3,FALSE)-1,IF(E33="ND12,5",VLOOKUP(D34,Datenblatt!$A$2:$C$31,3,FALSE)-0.5,VLOOKUP(D34,Datenblatt!$A$2:$C$31,3,FALSE))))</f>
        <v/>
      </c>
      <c r="N34" s="211" t="str">
        <f t="shared" si="2"/>
        <v/>
      </c>
      <c r="O34" s="211" t="str">
        <f t="shared" si="3"/>
        <v/>
      </c>
      <c r="P34" s="186">
        <f>IF(D34="",IF($P$47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$47="Freizeit",(-M34-J34+IF(ISNUMBER(N34),(N34*1.5),0)+IF(ISNUMBER(O34),(O34*2),0)+IF(OR(E34="ND",E34="ND12,5"),2,0)),(-M34-J34)),IF($P$47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103" t="str">
        <f>IF(D34="","",VLOOKUP(D34,Datenblatt!$A$2:$D$31,4,FALSE))</f>
        <v/>
      </c>
      <c r="R34" s="104" t="str">
        <f>IF(E34="","",VLOOKUP(E34,Datenblatt!$E$2:$G$28,2,FALSE))</f>
        <v/>
      </c>
      <c r="S34" s="105"/>
      <c r="T34" s="111">
        <f t="shared" si="5"/>
        <v>0</v>
      </c>
      <c r="U34" s="114">
        <f t="array" ref="U34">IF(T33=0,0,IF(AND((ROW(T33)=MATCH(TRUE,($T$1:$T$43)&gt;0,0)),(D33="ND")),IF(T33&lt;3,T33,3),IF(AND(ROW(T33)=MATCH(TRUE,($T$1:$T$43)&gt;0,0),D33="ND12,5"),IF(T33&lt;2.5,T33,2.5),IF(D33="ND12,5",2.5,(T33-V33-W33)))))</f>
        <v>0</v>
      </c>
      <c r="V34" s="112">
        <f t="array" ref="V34">IF(T34=0,0,IF(AND((ROW(T34)=MATCH(TRUE,($T$1:$T$43)&gt;0,0)),(D34="ND")),IF(AND(T34&gt;11,T34&lt;=25),T34-11,0),IF(AND(ROW(T34)=MATCH(TRUE,($T$1:$T$43)&gt;0,0),D34="ND12,5"),IF(AND(T34&gt;10.5,T34&lt;=12.5),T34-10.5,0),IF(D34="ND12,5",2,IF(T34&lt;14,T34,14)))))</f>
        <v>0</v>
      </c>
      <c r="W34" s="112">
        <f t="array" ref="W34">IF(T34=0,0,IF(AND((ROW(T34)=MATCH(TRUE,($T$1:$T$43)&gt;0,0)),(D34="ND")),IF(AND(T34&gt;3,T34&lt;11),T34-3,IF(T34&gt;=11,8,0)),IF(AND((ROW(T34)=MATCH(TRUE,($T$1:$T$43)&gt;0,0)),(D34="ND12,5")),IF(AND(T34&gt;2.5,T34&lt;10.5),T34-2.5,IF(T34&gt;=10.5,8,0)),IF(D34="ND12,5",8,IF(AND(T34&gt;14,T34&lt;22),(T34-V34),IF(T34&gt;=22,8,0))))))</f>
        <v>0</v>
      </c>
      <c r="X34" s="254">
        <f t="array" ref="X34">IF(T34=0,0,IF((AND((ROW(T34)=MATCH(TRUE,($T$1:$T$43)&gt;0,0)))),IF(W34&gt;=6,W34-6,0),IF(W34&gt;=2,2,W34)))</f>
        <v>0</v>
      </c>
      <c r="Y34" s="254">
        <f t="array" ref="Y34">IF(T33=0,0,(IF((AND((ROW(T33)=MATCH(TRUE,($T$1:$T$43)&gt;0,0)))),IF(W33&gt;=6,6,W33),IF(W33&gt;=2,W33-2,0))))</f>
        <v>0</v>
      </c>
      <c r="Z34" s="111" t="str">
        <f t="shared" si="6"/>
        <v/>
      </c>
      <c r="AA34" s="214">
        <f>IF(E33="ND",IF(ISERROR(MATCH(D34,Datenblatt!$L$2:$L$18,0)),3,2),IF(E33="ND12,5",IF(ISERROR(MATCH(D34,Datenblatt!$L$2:$L$18,0)),2.5,2),0))</f>
        <v>0</v>
      </c>
      <c r="AB34" s="214">
        <f>IF((IF(E34="ND",14-IF(D34="",0,VLOOKUP(D34,Datenblatt!$L$2:$M$30,2,FALSE)),IF(E34="ND12,5",2,0)))&lt;0,0,(IF(E34="ND",14-IF(D34="",0,VLOOKUP(D34,Datenblatt!$L$2:$M$30,2,FALSE)),IF(E34="ND12,5",2,0))))</f>
        <v>0</v>
      </c>
      <c r="AC34" s="214">
        <f t="shared" si="7"/>
        <v>0</v>
      </c>
      <c r="AD34" s="214">
        <f t="shared" si="8"/>
        <v>0</v>
      </c>
      <c r="AE34" s="214">
        <f t="shared" si="9"/>
        <v>0</v>
      </c>
      <c r="AF34" s="112">
        <f t="shared" si="10"/>
        <v>0</v>
      </c>
      <c r="AG34" s="112">
        <f t="shared" si="11"/>
        <v>0</v>
      </c>
      <c r="AH34" s="112">
        <f>IF(E34="",0,VLOOKUP(E34,Datenblatt!$E$2:$G$28,3,FALSE))</f>
        <v>0</v>
      </c>
    </row>
    <row r="35" spans="1:34" ht="13" customHeight="1">
      <c r="A35" s="89" t="str">
        <f>IF(ISERROR(VLOOKUP(C35,Datenblatt!$B$84:$B$97,1,FALSE)),"","Ft")</f>
        <v/>
      </c>
      <c r="B35" s="84">
        <f t="shared" si="0"/>
        <v>45618</v>
      </c>
      <c r="C35" s="86">
        <f t="shared" si="4"/>
        <v>45618</v>
      </c>
      <c r="D35" s="67"/>
      <c r="E35" s="67"/>
      <c r="F35" s="68"/>
      <c r="G35" s="69"/>
      <c r="H35" s="68"/>
      <c r="I35" s="68"/>
      <c r="J35" s="99"/>
      <c r="K35" s="21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20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10" t="str">
        <f>IF(D35="","",IF(E34="ND",VLOOKUP(D35,Datenblatt!$A$2:$C$31,3,FALSE)-1,IF(E34="ND12,5",VLOOKUP(D35,Datenblatt!$A$2:$C$31,3,FALSE)-0.5,VLOOKUP(D35,Datenblatt!$A$2:$C$31,3,FALSE))))</f>
        <v/>
      </c>
      <c r="N35" s="211" t="str">
        <f t="shared" si="2"/>
        <v/>
      </c>
      <c r="O35" s="211" t="str">
        <f t="shared" si="3"/>
        <v/>
      </c>
      <c r="P35" s="186">
        <f>IF(D35="",IF($P$47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$47="Freizeit",(-M35-J35+IF(ISNUMBER(N35),(N35*1.5),0)+IF(ISNUMBER(O35),(O35*2),0)+IF(OR(E35="ND",E35="ND12,5"),2,0)),(-M35-J35)),IF($P$47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103" t="str">
        <f>IF(D35="","",VLOOKUP(D35,Datenblatt!$A$2:$D$31,4,FALSE))</f>
        <v/>
      </c>
      <c r="R35" s="104" t="str">
        <f>IF(E35="","",VLOOKUP(E35,Datenblatt!$E$2:$G$28,2,FALSE))</f>
        <v/>
      </c>
      <c r="S35" s="105"/>
      <c r="T35" s="111">
        <f t="shared" si="5"/>
        <v>0</v>
      </c>
      <c r="U35" s="114">
        <f t="array" ref="U35">IF(T34=0,0,IF(AND((ROW(T34)=MATCH(TRUE,($T$1:$T$43)&gt;0,0)),(D34="ND")),IF(T34&lt;3,T34,3),IF(AND(ROW(T34)=MATCH(TRUE,($T$1:$T$43)&gt;0,0),D34="ND12,5"),IF(T34&lt;2.5,T34,2.5),IF(D34="ND12,5",2.5,(T34-V34-W34)))))</f>
        <v>0</v>
      </c>
      <c r="V35" s="112">
        <f t="array" ref="V35">IF(T35=0,0,IF(AND((ROW(T35)=MATCH(TRUE,($T$1:$T$43)&gt;0,0)),(D35="ND")),IF(AND(T35&gt;11,T35&lt;=25),T35-11,0),IF(AND(ROW(T35)=MATCH(TRUE,($T$1:$T$43)&gt;0,0),D35="ND12,5"),IF(AND(T35&gt;10.5,T35&lt;=12.5),T35-10.5,0),IF(D35="ND12,5",2,IF(T35&lt;14,T35,14)))))</f>
        <v>0</v>
      </c>
      <c r="W35" s="112">
        <f t="array" ref="W35">IF(T35=0,0,IF(AND((ROW(T35)=MATCH(TRUE,($T$1:$T$43)&gt;0,0)),(D35="ND")),IF(AND(T35&gt;3,T35&lt;11),T35-3,IF(T35&gt;=11,8,0)),IF(AND((ROW(T35)=MATCH(TRUE,($T$1:$T$43)&gt;0,0)),(D35="ND12,5")),IF(AND(T35&gt;2.5,T35&lt;10.5),T35-2.5,IF(T35&gt;=10.5,8,0)),IF(D35="ND12,5",8,IF(AND(T35&gt;14,T35&lt;22),(T35-V35),IF(T35&gt;=22,8,0))))))</f>
        <v>0</v>
      </c>
      <c r="X35" s="254">
        <f t="array" ref="X35">IF(T35=0,0,IF((AND((ROW(T35)=MATCH(TRUE,($T$1:$T$43)&gt;0,0)))),IF(W35&gt;=6,W35-6,0),IF(W35&gt;=2,2,W35)))</f>
        <v>0</v>
      </c>
      <c r="Y35" s="254">
        <f t="array" ref="Y35">IF(T34=0,0,(IF((AND((ROW(T34)=MATCH(TRUE,($T$1:$T$43)&gt;0,0)))),IF(W34&gt;=6,6,W34),IF(W34&gt;=2,W34-2,0))))</f>
        <v>0</v>
      </c>
      <c r="Z35" s="111" t="str">
        <f t="shared" si="6"/>
        <v/>
      </c>
      <c r="AA35" s="214">
        <f>IF(E34="ND",IF(ISERROR(MATCH(D35,Datenblatt!$L$2:$L$18,0)),3,2),IF(E34="ND12,5",IF(ISERROR(MATCH(D35,Datenblatt!$L$2:$L$18,0)),2.5,2),0))</f>
        <v>0</v>
      </c>
      <c r="AB35" s="214">
        <f>IF((IF(E35="ND",14-IF(D35="",0,VLOOKUP(D35,Datenblatt!$L$2:$M$30,2,FALSE)),IF(E35="ND12,5",2,0)))&lt;0,0,(IF(E35="ND",14-IF(D35="",0,VLOOKUP(D35,Datenblatt!$L$2:$M$30,2,FALSE)),IF(E35="ND12,5",2,0))))</f>
        <v>0</v>
      </c>
      <c r="AC35" s="214">
        <f t="shared" si="7"/>
        <v>0</v>
      </c>
      <c r="AD35" s="214">
        <f t="shared" si="8"/>
        <v>0</v>
      </c>
      <c r="AE35" s="214">
        <f t="shared" si="9"/>
        <v>0</v>
      </c>
      <c r="AF35" s="112">
        <f t="shared" si="10"/>
        <v>0</v>
      </c>
      <c r="AG35" s="112">
        <f t="shared" si="11"/>
        <v>0</v>
      </c>
      <c r="AH35" s="112">
        <f>IF(E35="",0,VLOOKUP(E35,Datenblatt!$E$2:$G$28,3,FALSE))</f>
        <v>0</v>
      </c>
    </row>
    <row r="36" spans="1:34" ht="13" customHeight="1">
      <c r="A36" s="89" t="str">
        <f>IF(ISERROR(VLOOKUP(C36,Datenblatt!$B$84:$B$97,1,FALSE)),"","Ft")</f>
        <v/>
      </c>
      <c r="B36" s="84">
        <f t="shared" si="0"/>
        <v>45619</v>
      </c>
      <c r="C36" s="86">
        <f t="shared" si="4"/>
        <v>45619</v>
      </c>
      <c r="D36" s="67"/>
      <c r="E36" s="67"/>
      <c r="F36" s="68"/>
      <c r="G36" s="69"/>
      <c r="H36" s="68"/>
      <c r="I36" s="68"/>
      <c r="J36" s="99"/>
      <c r="K36" s="21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20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10" t="str">
        <f>IF(D36="","",IF(E35="ND",VLOOKUP(D36,Datenblatt!$A$2:$C$31,3,FALSE)-1,IF(E35="ND12,5",VLOOKUP(D36,Datenblatt!$A$2:$C$31,3,FALSE)-0.5,VLOOKUP(D36,Datenblatt!$A$2:$C$31,3,FALSE))))</f>
        <v/>
      </c>
      <c r="N36" s="211" t="str">
        <f t="shared" si="2"/>
        <v/>
      </c>
      <c r="O36" s="211" t="str">
        <f t="shared" si="3"/>
        <v/>
      </c>
      <c r="P36" s="186">
        <f>IF(D36="",IF($P$47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$47="Freizeit",(-M36-J36+IF(ISNUMBER(N36),(N36*1.5),0)+IF(ISNUMBER(O36),(O36*2),0)+IF(OR(E36="ND",E36="ND12,5"),2,0)),(-M36-J36)),IF($P$47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103" t="str">
        <f>IF(D36="","",VLOOKUP(D36,Datenblatt!$A$2:$D$31,4,FALSE))</f>
        <v/>
      </c>
      <c r="R36" s="104" t="str">
        <f>IF(E36="","",VLOOKUP(E36,Datenblatt!$E$2:$G$28,2,FALSE))</f>
        <v/>
      </c>
      <c r="S36" s="105"/>
      <c r="T36" s="111">
        <f t="shared" si="5"/>
        <v>0</v>
      </c>
      <c r="U36" s="114">
        <f t="array" ref="U36">IF(T35=0,0,IF(AND((ROW(T35)=MATCH(TRUE,($T$1:$T$43)&gt;0,0)),(D35="ND")),IF(T35&lt;3,T35,3),IF(AND(ROW(T35)=MATCH(TRUE,($T$1:$T$43)&gt;0,0),D35="ND12,5"),IF(T35&lt;2.5,T35,2.5),IF(D35="ND12,5",2.5,(T35-V35-W35)))))</f>
        <v>0</v>
      </c>
      <c r="V36" s="112">
        <f t="array" ref="V36">IF(T36=0,0,IF(AND((ROW(T36)=MATCH(TRUE,($T$1:$T$43)&gt;0,0)),(D36="ND")),IF(AND(T36&gt;11,T36&lt;=25),T36-11,0),IF(AND(ROW(T36)=MATCH(TRUE,($T$1:$T$43)&gt;0,0),D36="ND12,5"),IF(AND(T36&gt;10.5,T36&lt;=12.5),T36-10.5,0),IF(D36="ND12,5",2,IF(T36&lt;14,T36,14)))))</f>
        <v>0</v>
      </c>
      <c r="W36" s="112">
        <f t="array" ref="W36">IF(T36=0,0,IF(AND((ROW(T36)=MATCH(TRUE,($T$1:$T$43)&gt;0,0)),(D36="ND")),IF(AND(T36&gt;3,T36&lt;11),T36-3,IF(T36&gt;=11,8,0)),IF(AND((ROW(T36)=MATCH(TRUE,($T$1:$T$43)&gt;0,0)),(D36="ND12,5")),IF(AND(T36&gt;2.5,T36&lt;10.5),T36-2.5,IF(T36&gt;=10.5,8,0)),IF(D36="ND12,5",8,IF(AND(T36&gt;14,T36&lt;22),(T36-V36),IF(T36&gt;=22,8,0))))))</f>
        <v>0</v>
      </c>
      <c r="X36" s="254">
        <f t="array" ref="X36">IF(T36=0,0,IF((AND((ROW(T36)=MATCH(TRUE,($T$1:$T$43)&gt;0,0)))),IF(W36&gt;=6,W36-6,0),IF(W36&gt;=2,2,W36)))</f>
        <v>0</v>
      </c>
      <c r="Y36" s="254">
        <f t="array" ref="Y36">IF(T35=0,0,(IF((AND((ROW(T35)=MATCH(TRUE,($T$1:$T$43)&gt;0,0)))),IF(W35&gt;=6,6,W35),IF(W35&gt;=2,W35-2,0))))</f>
        <v>0</v>
      </c>
      <c r="Z36" s="111" t="str">
        <f t="shared" si="6"/>
        <v/>
      </c>
      <c r="AA36" s="214">
        <f>IF(E35="ND",IF(ISERROR(MATCH(D36,Datenblatt!$L$2:$L$18,0)),3,2),IF(E35="ND12,5",IF(ISERROR(MATCH(D36,Datenblatt!$L$2:$L$18,0)),2.5,2),0))</f>
        <v>0</v>
      </c>
      <c r="AB36" s="214">
        <f>IF((IF(E36="ND",14-IF(D36="",0,VLOOKUP(D36,Datenblatt!$L$2:$M$30,2,FALSE)),IF(E36="ND12,5",2,0)))&lt;0,0,(IF(E36="ND",14-IF(D36="",0,VLOOKUP(D36,Datenblatt!$L$2:$M$30,2,FALSE)),IF(E36="ND12,5",2,0))))</f>
        <v>0</v>
      </c>
      <c r="AC36" s="214">
        <f t="shared" si="7"/>
        <v>0</v>
      </c>
      <c r="AD36" s="214">
        <f t="shared" si="8"/>
        <v>0</v>
      </c>
      <c r="AE36" s="214">
        <f t="shared" si="9"/>
        <v>0</v>
      </c>
      <c r="AF36" s="112">
        <f t="shared" si="10"/>
        <v>0</v>
      </c>
      <c r="AG36" s="112">
        <f t="shared" si="11"/>
        <v>0</v>
      </c>
      <c r="AH36" s="112">
        <f>IF(E36="",0,VLOOKUP(E36,Datenblatt!$E$2:$G$28,3,FALSE))</f>
        <v>0</v>
      </c>
    </row>
    <row r="37" spans="1:34" ht="13" customHeight="1">
      <c r="A37" s="89" t="str">
        <f>IF(ISERROR(VLOOKUP(C37,Datenblatt!$B$84:$B$97,1,FALSE)),"","Ft")</f>
        <v/>
      </c>
      <c r="B37" s="84">
        <f t="shared" si="0"/>
        <v>45620</v>
      </c>
      <c r="C37" s="86">
        <f t="shared" si="4"/>
        <v>45620</v>
      </c>
      <c r="D37" s="67"/>
      <c r="E37" s="67"/>
      <c r="F37" s="68"/>
      <c r="G37" s="69"/>
      <c r="H37" s="68"/>
      <c r="I37" s="68"/>
      <c r="J37" s="99"/>
      <c r="K37" s="21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20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10" t="str">
        <f>IF(D37="","",IF(E36="ND",VLOOKUP(D37,Datenblatt!$A$2:$C$31,3,FALSE)-1,IF(E36="ND12,5",VLOOKUP(D37,Datenblatt!$A$2:$C$31,3,FALSE)-0.5,VLOOKUP(D37,Datenblatt!$A$2:$C$31,3,FALSE))))</f>
        <v/>
      </c>
      <c r="N37" s="211" t="str">
        <f t="shared" si="2"/>
        <v/>
      </c>
      <c r="O37" s="211">
        <f t="shared" si="3"/>
        <v>0</v>
      </c>
      <c r="P37" s="186">
        <f>IF(D37="",IF($P$47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$47="Freizeit",(-M37-J37+IF(ISNUMBER(N37),(N37*1.5),0)+IF(ISNUMBER(O37),(O37*2),0)+IF(OR(E37="ND",E37="ND12,5"),2,0)),(-M37-J37)),IF($P$47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103" t="str">
        <f>IF(D37="","",VLOOKUP(D37,Datenblatt!$A$2:$D$31,4,FALSE))</f>
        <v/>
      </c>
      <c r="R37" s="104" t="str">
        <f>IF(E37="","",VLOOKUP(E37,Datenblatt!$E$2:$G$28,2,FALSE))</f>
        <v/>
      </c>
      <c r="S37" s="105"/>
      <c r="T37" s="111">
        <f t="shared" si="5"/>
        <v>0</v>
      </c>
      <c r="U37" s="114">
        <f t="array" ref="U37">IF(T36=0,0,IF(AND((ROW(T36)=MATCH(TRUE,($T$1:$T$43)&gt;0,0)),(D36="ND")),IF(T36&lt;3,T36,3),IF(AND(ROW(T36)=MATCH(TRUE,($T$1:$T$43)&gt;0,0),D36="ND12,5"),IF(T36&lt;2.5,T36,2.5),IF(D36="ND12,5",2.5,(T36-V36-W36)))))</f>
        <v>0</v>
      </c>
      <c r="V37" s="112">
        <f t="array" ref="V37">IF(T37=0,0,IF(AND((ROW(T37)=MATCH(TRUE,($T$1:$T$43)&gt;0,0)),(D37="ND")),IF(AND(T37&gt;11,T37&lt;=25),T37-11,0),IF(AND(ROW(T37)=MATCH(TRUE,($T$1:$T$43)&gt;0,0),D37="ND12,5"),IF(AND(T37&gt;10.5,T37&lt;=12.5),T37-10.5,0),IF(D37="ND12,5",2,IF(T37&lt;14,T37,14)))))</f>
        <v>0</v>
      </c>
      <c r="W37" s="112">
        <f t="array" ref="W37">IF(T37=0,0,IF(AND((ROW(T37)=MATCH(TRUE,($T$1:$T$43)&gt;0,0)),(D37="ND")),IF(AND(T37&gt;3,T37&lt;11),T37-3,IF(T37&gt;=11,8,0)),IF(AND((ROW(T37)=MATCH(TRUE,($T$1:$T$43)&gt;0,0)),(D37="ND12,5")),IF(AND(T37&gt;2.5,T37&lt;10.5),T37-2.5,IF(T37&gt;=10.5,8,0)),IF(D37="ND12,5",8,IF(AND(T37&gt;14,T37&lt;22),(T37-V37),IF(T37&gt;=22,8,0))))))</f>
        <v>0</v>
      </c>
      <c r="X37" s="254">
        <f t="array" ref="X37">IF(T37=0,0,IF((AND((ROW(T37)=MATCH(TRUE,($T$1:$T$43)&gt;0,0)))),IF(W37&gt;=6,W37-6,0),IF(W37&gt;=2,2,W37)))</f>
        <v>0</v>
      </c>
      <c r="Y37" s="254">
        <f t="array" ref="Y37">IF(T36=0,0,(IF((AND((ROW(T36)=MATCH(TRUE,($T$1:$T$43)&gt;0,0)))),IF(W36&gt;=6,6,W36),IF(W36&gt;=2,W36-2,0))))</f>
        <v>0</v>
      </c>
      <c r="Z37" s="111" t="str">
        <f t="shared" si="6"/>
        <v/>
      </c>
      <c r="AA37" s="214">
        <f>IF(E36="ND",IF(ISERROR(MATCH(D37,Datenblatt!$L$2:$L$18,0)),3,2),IF(E36="ND12,5",IF(ISERROR(MATCH(D37,Datenblatt!$L$2:$L$18,0)),2.5,2),0))</f>
        <v>0</v>
      </c>
      <c r="AB37" s="214">
        <f>IF((IF(E37="ND",14-IF(D37="",0,VLOOKUP(D37,Datenblatt!$L$2:$M$30,2,FALSE)),IF(E37="ND12,5",2,0)))&lt;0,0,(IF(E37="ND",14-IF(D37="",0,VLOOKUP(D37,Datenblatt!$L$2:$M$30,2,FALSE)),IF(E37="ND12,5",2,0))))</f>
        <v>0</v>
      </c>
      <c r="AC37" s="214">
        <f t="shared" si="7"/>
        <v>0</v>
      </c>
      <c r="AD37" s="214">
        <f t="shared" si="8"/>
        <v>0</v>
      </c>
      <c r="AE37" s="214">
        <f t="shared" si="9"/>
        <v>0</v>
      </c>
      <c r="AF37" s="112">
        <f t="shared" si="10"/>
        <v>0</v>
      </c>
      <c r="AG37" s="112">
        <f t="shared" si="11"/>
        <v>0</v>
      </c>
      <c r="AH37" s="112">
        <f>IF(E37="",0,VLOOKUP(E37,Datenblatt!$E$2:$G$28,3,FALSE))</f>
        <v>0</v>
      </c>
    </row>
    <row r="38" spans="1:34" ht="13" customHeight="1">
      <c r="A38" s="89" t="str">
        <f>IF(ISERROR(VLOOKUP(C38,Datenblatt!$B$84:$B$97,1,FALSE)),"","Ft")</f>
        <v/>
      </c>
      <c r="B38" s="84">
        <f t="shared" si="0"/>
        <v>45621</v>
      </c>
      <c r="C38" s="86">
        <f t="shared" si="4"/>
        <v>45621</v>
      </c>
      <c r="D38" s="67"/>
      <c r="E38" s="67"/>
      <c r="F38" s="68"/>
      <c r="G38" s="69"/>
      <c r="H38" s="68"/>
      <c r="I38" s="68"/>
      <c r="J38" s="99"/>
      <c r="K38" s="21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20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10" t="str">
        <f>IF(D38="","",IF(E37="ND",VLOOKUP(D38,Datenblatt!$A$2:$C$31,3,FALSE)-1,IF(E37="ND12,5",VLOOKUP(D38,Datenblatt!$A$2:$C$31,3,FALSE)-0.5,VLOOKUP(D38,Datenblatt!$A$2:$C$31,3,FALSE))))</f>
        <v/>
      </c>
      <c r="N38" s="211" t="str">
        <f t="shared" si="2"/>
        <v/>
      </c>
      <c r="O38" s="211" t="str">
        <f t="shared" si="3"/>
        <v/>
      </c>
      <c r="P38" s="186">
        <f>IF(D38="",IF($P$47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$47="Freizeit",(-M38-J38+IF(ISNUMBER(N38),(N38*1.5),0)+IF(ISNUMBER(O38),(O38*2),0)+IF(OR(E38="ND",E38="ND12,5"),2,0)),(-M38-J38)),IF($P$47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103" t="str">
        <f>IF(D38="","",VLOOKUP(D38,Datenblatt!$A$2:$D$31,4,FALSE))</f>
        <v/>
      </c>
      <c r="R38" s="104" t="str">
        <f>IF(E38="","",VLOOKUP(E38,Datenblatt!$E$2:$G$28,2,FALSE))</f>
        <v/>
      </c>
      <c r="S38" s="105"/>
      <c r="T38" s="111">
        <f t="shared" si="5"/>
        <v>0</v>
      </c>
      <c r="U38" s="114">
        <f t="array" ref="U38">IF(T37=0,0,IF(AND((ROW(T37)=MATCH(TRUE,($T$1:$T$43)&gt;0,0)),(D37="ND")),IF(T37&lt;3,T37,3),IF(AND(ROW(T37)=MATCH(TRUE,($T$1:$T$43)&gt;0,0),D37="ND12,5"),IF(T37&lt;2.5,T37,2.5),IF(D37="ND12,5",2.5,(T37-V37-W37)))))</f>
        <v>0</v>
      </c>
      <c r="V38" s="112">
        <f t="array" ref="V38">IF(T38=0,0,IF(AND((ROW(T38)=MATCH(TRUE,($T$1:$T$43)&gt;0,0)),(D38="ND")),IF(AND(T38&gt;11,T38&lt;=25),T38-11,0),IF(AND(ROW(T38)=MATCH(TRUE,($T$1:$T$43)&gt;0,0),D38="ND12,5"),IF(AND(T38&gt;10.5,T38&lt;=12.5),T38-10.5,0),IF(D38="ND12,5",2,IF(T38&lt;14,T38,14)))))</f>
        <v>0</v>
      </c>
      <c r="W38" s="112">
        <f t="array" ref="W38">IF(T38=0,0,IF(AND((ROW(T38)=MATCH(TRUE,($T$1:$T$43)&gt;0,0)),(D38="ND")),IF(AND(T38&gt;3,T38&lt;11),T38-3,IF(T38&gt;=11,8,0)),IF(AND((ROW(T38)=MATCH(TRUE,($T$1:$T$43)&gt;0,0)),(D38="ND12,5")),IF(AND(T38&gt;2.5,T38&lt;10.5),T38-2.5,IF(T38&gt;=10.5,8,0)),IF(D38="ND12,5",8,IF(AND(T38&gt;14,T38&lt;22),(T38-V38),IF(T38&gt;=22,8,0))))))</f>
        <v>0</v>
      </c>
      <c r="X38" s="254">
        <f t="array" ref="X38">IF(T38=0,0,IF((AND((ROW(T38)=MATCH(TRUE,($T$1:$T$43)&gt;0,0)))),IF(W38&gt;=6,W38-6,0),IF(W38&gt;=2,2,W38)))</f>
        <v>0</v>
      </c>
      <c r="Y38" s="254">
        <f t="array" ref="Y38">IF(T37=0,0,(IF((AND((ROW(T37)=MATCH(TRUE,($T$1:$T$43)&gt;0,0)))),IF(W37&gt;=6,6,W37),IF(W37&gt;=2,W37-2,0))))</f>
        <v>0</v>
      </c>
      <c r="Z38" s="111" t="str">
        <f t="shared" si="6"/>
        <v/>
      </c>
      <c r="AA38" s="214">
        <f>IF(E37="ND",IF(ISERROR(MATCH(D38,Datenblatt!$L$2:$L$18,0)),3,2),IF(E37="ND12,5",IF(ISERROR(MATCH(D38,Datenblatt!$L$2:$L$18,0)),2.5,2),0))</f>
        <v>0</v>
      </c>
      <c r="AB38" s="214">
        <f>IF((IF(E38="ND",14-IF(D38="",0,VLOOKUP(D38,Datenblatt!$L$2:$M$30,2,FALSE)),IF(E38="ND12,5",2,0)))&lt;0,0,(IF(E38="ND",14-IF(D38="",0,VLOOKUP(D38,Datenblatt!$L$2:$M$30,2,FALSE)),IF(E38="ND12,5",2,0))))</f>
        <v>0</v>
      </c>
      <c r="AC38" s="214">
        <f t="shared" si="7"/>
        <v>0</v>
      </c>
      <c r="AD38" s="214">
        <f t="shared" si="8"/>
        <v>0</v>
      </c>
      <c r="AE38" s="214">
        <f t="shared" si="9"/>
        <v>0</v>
      </c>
      <c r="AF38" s="112">
        <f t="shared" si="10"/>
        <v>0</v>
      </c>
      <c r="AG38" s="112">
        <f t="shared" si="11"/>
        <v>0</v>
      </c>
      <c r="AH38" s="112">
        <f>IF(E38="",0,VLOOKUP(E38,Datenblatt!$E$2:$G$28,3,FALSE))</f>
        <v>0</v>
      </c>
    </row>
    <row r="39" spans="1:34" ht="13" customHeight="1">
      <c r="A39" s="89" t="str">
        <f>IF(ISERROR(VLOOKUP(C39,Datenblatt!$B$84:$B$97,1,FALSE)),"","Ft")</f>
        <v/>
      </c>
      <c r="B39" s="84">
        <f t="shared" si="0"/>
        <v>45622</v>
      </c>
      <c r="C39" s="86">
        <f t="shared" si="4"/>
        <v>45622</v>
      </c>
      <c r="D39" s="67"/>
      <c r="E39" s="67"/>
      <c r="F39" s="68"/>
      <c r="G39" s="69"/>
      <c r="H39" s="68"/>
      <c r="I39" s="68"/>
      <c r="J39" s="99"/>
      <c r="K39" s="21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20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10" t="str">
        <f>IF(D39="","",IF(E38="ND",VLOOKUP(D39,Datenblatt!$A$2:$C$31,3,FALSE)-1,IF(E38="ND12,5",VLOOKUP(D39,Datenblatt!$A$2:$C$31,3,FALSE)-0.5,VLOOKUP(D39,Datenblatt!$A$2:$C$31,3,FALSE))))</f>
        <v/>
      </c>
      <c r="N39" s="211" t="str">
        <f t="shared" si="2"/>
        <v/>
      </c>
      <c r="O39" s="211" t="str">
        <f t="shared" si="3"/>
        <v/>
      </c>
      <c r="P39" s="186">
        <f>IF(D39="",IF($P$47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$47="Freizeit",(-M39-J39+IF(ISNUMBER(N39),(N39*1.5),0)+IF(ISNUMBER(O39),(O39*2),0)+IF(OR(E39="ND",E39="ND12,5"),2,0)),(-M39-J39)),IF($P$47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103" t="str">
        <f>IF(D39="","",VLOOKUP(D39,Datenblatt!$A$2:$D$31,4,FALSE))</f>
        <v/>
      </c>
      <c r="R39" s="104" t="str">
        <f>IF(E39="","",VLOOKUP(E39,Datenblatt!$E$2:$G$28,2,FALSE))</f>
        <v/>
      </c>
      <c r="S39" s="105"/>
      <c r="T39" s="111">
        <f t="shared" si="5"/>
        <v>0</v>
      </c>
      <c r="U39" s="114">
        <f t="array" ref="U39">IF(T38=0,0,IF(AND((ROW(T38)=MATCH(TRUE,($T$1:$T$43)&gt;0,0)),(D38="ND")),IF(T38&lt;3,T38,3),IF(AND(ROW(T38)=MATCH(TRUE,($T$1:$T$43)&gt;0,0),D38="ND12,5"),IF(T38&lt;2.5,T38,2.5),IF(D38="ND12,5",2.5,(T38-V38-W38)))))</f>
        <v>0</v>
      </c>
      <c r="V39" s="112">
        <f t="array" ref="V39">IF(T39=0,0,IF(AND((ROW(T39)=MATCH(TRUE,($T$1:$T$43)&gt;0,0)),(D39="ND")),IF(AND(T39&gt;11,T39&lt;=25),T39-11,0),IF(AND(ROW(T39)=MATCH(TRUE,($T$1:$T$43)&gt;0,0),D39="ND12,5"),IF(AND(T39&gt;10.5,T39&lt;=12.5),T39-10.5,0),IF(D39="ND12,5",2,IF(T39&lt;14,T39,14)))))</f>
        <v>0</v>
      </c>
      <c r="W39" s="112">
        <f t="array" ref="W39">IF(T39=0,0,IF(AND((ROW(T39)=MATCH(TRUE,($T$1:$T$43)&gt;0,0)),(D39="ND")),IF(AND(T39&gt;3,T39&lt;11),T39-3,IF(T39&gt;=11,8,0)),IF(AND((ROW(T39)=MATCH(TRUE,($T$1:$T$43)&gt;0,0)),(D39="ND12,5")),IF(AND(T39&gt;2.5,T39&lt;10.5),T39-2.5,IF(T39&gt;=10.5,8,0)),IF(D39="ND12,5",8,IF(AND(T39&gt;14,T39&lt;22),(T39-V39),IF(T39&gt;=22,8,0))))))</f>
        <v>0</v>
      </c>
      <c r="X39" s="254">
        <f t="array" ref="X39">IF(T39=0,0,IF((AND((ROW(T39)=MATCH(TRUE,($T$1:$T$43)&gt;0,0)))),IF(W39&gt;=6,W39-6,0),IF(W39&gt;=2,2,W39)))</f>
        <v>0</v>
      </c>
      <c r="Y39" s="254">
        <f t="array" ref="Y39">IF(T38=0,0,(IF((AND((ROW(T38)=MATCH(TRUE,($T$1:$T$43)&gt;0,0)))),IF(W38&gt;=6,6,W38),IF(W38&gt;=2,W38-2,0))))</f>
        <v>0</v>
      </c>
      <c r="Z39" s="111" t="str">
        <f t="shared" si="6"/>
        <v/>
      </c>
      <c r="AA39" s="214">
        <f>IF(E38="ND",IF(ISERROR(MATCH(D39,Datenblatt!$L$2:$L$18,0)),3,2),IF(E38="ND12,5",IF(ISERROR(MATCH(D39,Datenblatt!$L$2:$L$18,0)),2.5,2),0))</f>
        <v>0</v>
      </c>
      <c r="AB39" s="214">
        <f>IF((IF(E39="ND",14-IF(D39="",0,VLOOKUP(D39,Datenblatt!$L$2:$M$30,2,FALSE)),IF(E39="ND12,5",2,0)))&lt;0,0,(IF(E39="ND",14-IF(D39="",0,VLOOKUP(D39,Datenblatt!$L$2:$M$30,2,FALSE)),IF(E39="ND12,5",2,0))))</f>
        <v>0</v>
      </c>
      <c r="AC39" s="214">
        <f t="shared" si="7"/>
        <v>0</v>
      </c>
      <c r="AD39" s="214">
        <f t="shared" si="8"/>
        <v>0</v>
      </c>
      <c r="AE39" s="214">
        <f t="shared" si="9"/>
        <v>0</v>
      </c>
      <c r="AF39" s="112">
        <f t="shared" si="10"/>
        <v>0</v>
      </c>
      <c r="AG39" s="112">
        <f t="shared" si="11"/>
        <v>0</v>
      </c>
      <c r="AH39" s="112">
        <f>IF(E39="",0,VLOOKUP(E39,Datenblatt!$E$2:$G$28,3,FALSE))</f>
        <v>0</v>
      </c>
    </row>
    <row r="40" spans="1:34" ht="13" customHeight="1">
      <c r="A40" s="89" t="str">
        <f>IF(ISERROR(VLOOKUP(C40,Datenblatt!$B$84:$B$97,1,FALSE)),"","Ft")</f>
        <v/>
      </c>
      <c r="B40" s="84">
        <f t="shared" si="0"/>
        <v>45623</v>
      </c>
      <c r="C40" s="86">
        <f t="shared" si="4"/>
        <v>45623</v>
      </c>
      <c r="D40" s="67"/>
      <c r="E40" s="67"/>
      <c r="F40" s="68"/>
      <c r="G40" s="69"/>
      <c r="H40" s="68"/>
      <c r="I40" s="68"/>
      <c r="J40" s="99"/>
      <c r="K40" s="21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20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10" t="str">
        <f>IF(D40="","",IF(E39="ND",VLOOKUP(D40,Datenblatt!$A$2:$C$31,3,FALSE)-1,IF(E39="ND12,5",VLOOKUP(D40,Datenblatt!$A$2:$C$31,3,FALSE)-0.5,VLOOKUP(D40,Datenblatt!$A$2:$C$31,3,FALSE))))</f>
        <v/>
      </c>
      <c r="N40" s="211" t="str">
        <f t="shared" si="2"/>
        <v/>
      </c>
      <c r="O40" s="211" t="str">
        <f t="shared" si="3"/>
        <v/>
      </c>
      <c r="P40" s="186">
        <f>IF(D40="",IF($P$47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$47="Freizeit",(-M40-J40+IF(ISNUMBER(N40),(N40*1.5),0)+IF(ISNUMBER(O40),(O40*2),0)+IF(OR(E40="ND",E40="ND12,5"),2,0)),(-M40-J40)),IF($P$47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103" t="str">
        <f>IF(D40="","",VLOOKUP(D40,Datenblatt!$A$2:$D$31,4,FALSE))</f>
        <v/>
      </c>
      <c r="R40" s="104" t="str">
        <f>IF(E40="","",VLOOKUP(E40,Datenblatt!$E$2:$G$28,2,FALSE))</f>
        <v/>
      </c>
      <c r="S40" s="106"/>
      <c r="T40" s="111">
        <f t="shared" si="5"/>
        <v>0</v>
      </c>
      <c r="U40" s="114">
        <f t="array" ref="U40">IF(T39=0,0,IF(AND((ROW(T39)=MATCH(TRUE,($T$1:$T$43)&gt;0,0)),(D39="ND")),IF(T39&lt;3,T39,3),IF(AND(ROW(T39)=MATCH(TRUE,($T$1:$T$43)&gt;0,0),D39="ND12,5"),IF(T39&lt;2.5,T39,2.5),IF(D39="ND12,5",2.5,(T39-V39-W39)))))</f>
        <v>0</v>
      </c>
      <c r="V40" s="112">
        <f t="array" ref="V40">IF(T40=0,0,IF(AND((ROW(T40)=MATCH(TRUE,($T$1:$T$43)&gt;0,0)),(D40="ND")),IF(AND(T40&gt;11,T40&lt;=25),T40-11,0),IF(AND(ROW(T40)=MATCH(TRUE,($T$1:$T$43)&gt;0,0),D40="ND12,5"),IF(AND(T40&gt;10.5,T40&lt;=12.5),T40-10.5,0),IF(D40="ND12,5",2,IF(T40&lt;14,T40,14)))))</f>
        <v>0</v>
      </c>
      <c r="W40" s="112">
        <f t="array" ref="W40">IF(T40=0,0,IF(AND((ROW(T40)=MATCH(TRUE,($T$1:$T$43)&gt;0,0)),(D40="ND")),IF(AND(T40&gt;3,T40&lt;11),T40-3,IF(T40&gt;=11,8,0)),IF(AND((ROW(T40)=MATCH(TRUE,($T$1:$T$43)&gt;0,0)),(D40="ND12,5")),IF(AND(T40&gt;2.5,T40&lt;10.5),T40-2.5,IF(T40&gt;=10.5,8,0)),IF(D40="ND12,5",8,IF(AND(T40&gt;14,T40&lt;22),(T40-V40),IF(T40&gt;=22,8,0))))))</f>
        <v>0</v>
      </c>
      <c r="X40" s="254">
        <f t="array" ref="X40">IF(T40=0,0,IF((AND((ROW(T40)=MATCH(TRUE,($T$1:$T$43)&gt;0,0)))),IF(W40&gt;=6,W40-6,0),IF(W40&gt;=2,2,W40)))</f>
        <v>0</v>
      </c>
      <c r="Y40" s="254">
        <f t="array" ref="Y40">IF(T39=0,0,(IF((AND((ROW(T39)=MATCH(TRUE,($T$1:$T$43)&gt;0,0)))),IF(W39&gt;=6,6,W39),IF(W39&gt;=2,W39-2,0))))</f>
        <v>0</v>
      </c>
      <c r="Z40" s="111" t="str">
        <f t="shared" si="6"/>
        <v/>
      </c>
      <c r="AA40" s="214">
        <f>IF(E39="ND",IF(ISERROR(MATCH(D40,Datenblatt!$L$2:$L$18,0)),3,2),IF(E39="ND12,5",IF(ISERROR(MATCH(D40,Datenblatt!$L$2:$L$18,0)),2.5,2),0))</f>
        <v>0</v>
      </c>
      <c r="AB40" s="214">
        <f>IF((IF(E40="ND",14-IF(D40="",0,VLOOKUP(D40,Datenblatt!$L$2:$M$30,2,FALSE)),IF(E40="ND12,5",2,0)))&lt;0,0,(IF(E40="ND",14-IF(D40="",0,VLOOKUP(D40,Datenblatt!$L$2:$M$30,2,FALSE)),IF(E40="ND12,5",2,0))))</f>
        <v>0</v>
      </c>
      <c r="AC40" s="214">
        <f t="shared" si="7"/>
        <v>0</v>
      </c>
      <c r="AD40" s="214">
        <f t="shared" si="8"/>
        <v>0</v>
      </c>
      <c r="AE40" s="214">
        <f t="shared" si="9"/>
        <v>0</v>
      </c>
      <c r="AF40" s="112">
        <f t="shared" si="10"/>
        <v>0</v>
      </c>
      <c r="AG40" s="112">
        <f t="shared" si="11"/>
        <v>0</v>
      </c>
      <c r="AH40" s="112">
        <f>IF(E40="",0,VLOOKUP(E40,Datenblatt!$E$2:$G$28,3,FALSE))</f>
        <v>0</v>
      </c>
    </row>
    <row r="41" spans="1:34" ht="13" customHeight="1">
      <c r="A41" s="89" t="str">
        <f>IF(ISERROR(VLOOKUP(C41,Datenblatt!$B$84:$B$97,1,FALSE)),"","Ft")</f>
        <v/>
      </c>
      <c r="B41" s="84">
        <f t="shared" si="0"/>
        <v>45624</v>
      </c>
      <c r="C41" s="86">
        <f t="shared" si="4"/>
        <v>45624</v>
      </c>
      <c r="D41" s="67"/>
      <c r="E41" s="67"/>
      <c r="F41" s="68"/>
      <c r="G41" s="69"/>
      <c r="H41" s="68"/>
      <c r="I41" s="68"/>
      <c r="J41" s="99"/>
      <c r="K41" s="21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20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10" t="str">
        <f>IF(D41="","",IF(E40="ND",VLOOKUP(D41,Datenblatt!$A$2:$C$31,3,FALSE)-1,IF(E40="ND12,5",VLOOKUP(D41,Datenblatt!$A$2:$C$31,3,FALSE)-0.5,VLOOKUP(D41,Datenblatt!$A$2:$C$31,3,FALSE))))</f>
        <v/>
      </c>
      <c r="N41" s="211" t="str">
        <f t="shared" si="2"/>
        <v/>
      </c>
      <c r="O41" s="211" t="str">
        <f t="shared" si="3"/>
        <v/>
      </c>
      <c r="P41" s="186">
        <f>IF(D41="",IF($P$47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$47="Freizeit",(-M41-J41+IF(ISNUMBER(N41),(N41*1.5),0)+IF(ISNUMBER(O41),(O41*2),0)+IF(OR(E41="ND",E41="ND12,5"),2,0)),(-M41-J41)),IF($P$47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103" t="str">
        <f>IF(D41="","",VLOOKUP(D41,Datenblatt!$A$2:$D$31,4,FALSE))</f>
        <v/>
      </c>
      <c r="R41" s="104" t="str">
        <f>IF(E41="","",VLOOKUP(E41,Datenblatt!$E$2:$G$28,2,FALSE))</f>
        <v/>
      </c>
      <c r="S41" s="106"/>
      <c r="T41" s="111">
        <f t="shared" si="5"/>
        <v>0</v>
      </c>
      <c r="U41" s="114">
        <f t="array" ref="U41">IF(T40=0,0,IF(AND((ROW(T40)=MATCH(TRUE,($T$1:$T$43)&gt;0,0)),(D40="ND")),IF(T40&lt;3,T40,3),IF(AND(ROW(T40)=MATCH(TRUE,($T$1:$T$43)&gt;0,0),D40="ND12,5"),IF(T40&lt;2.5,T40,2.5),IF(D40="ND12,5",2.5,(T40-V40-W40)))))</f>
        <v>0</v>
      </c>
      <c r="V41" s="112">
        <f t="array" ref="V41">IF(T41=0,0,IF(AND((ROW(T41)=MATCH(TRUE,($T$1:$T$43)&gt;0,0)),(D41="ND")),IF(AND(T41&gt;11,T41&lt;=25),T41-11,0),IF(AND(ROW(T41)=MATCH(TRUE,($T$1:$T$43)&gt;0,0),D41="ND12,5"),IF(AND(T41&gt;10.5,T41&lt;=12.5),T41-10.5,0),IF(D41="ND12,5",2,IF(T41&lt;14,T41,14)))))</f>
        <v>0</v>
      </c>
      <c r="W41" s="112">
        <f t="array" ref="W41">IF(T41=0,0,IF(AND((ROW(T41)=MATCH(TRUE,($T$1:$T$43)&gt;0,0)),(D41="ND")),IF(AND(T41&gt;3,T41&lt;11),T41-3,IF(T41&gt;=11,8,0)),IF(AND((ROW(T41)=MATCH(TRUE,($T$1:$T$43)&gt;0,0)),(D41="ND12,5")),IF(AND(T41&gt;2.5,T41&lt;10.5),T41-2.5,IF(T41&gt;=10.5,8,0)),IF(D41="ND12,5",8,IF(AND(T41&gt;14,T41&lt;22),(T41-V41),IF(T41&gt;=22,8,0))))))</f>
        <v>0</v>
      </c>
      <c r="X41" s="254">
        <f t="array" ref="X41">IF(T41=0,0,IF((AND((ROW(T41)=MATCH(TRUE,($T$1:$T$43)&gt;0,0)))),IF(W41&gt;=6,W41-6,0),IF(W41&gt;=2,2,W41)))</f>
        <v>0</v>
      </c>
      <c r="Y41" s="254">
        <f t="array" ref="Y41">IF(T40=0,0,(IF((AND((ROW(T40)=MATCH(TRUE,($T$1:$T$43)&gt;0,0)))),IF(W40&gt;=6,6,W40),IF(W40&gt;=2,W40-2,0))))</f>
        <v>0</v>
      </c>
      <c r="Z41" s="111" t="str">
        <f t="shared" si="6"/>
        <v/>
      </c>
      <c r="AA41" s="214">
        <f>IF(E40="ND",IF(ISERROR(MATCH(D41,Datenblatt!$L$2:$L$18,0)),3,2),IF(E40="ND12,5",IF(ISERROR(MATCH(D41,Datenblatt!$L$2:$L$18,0)),2.5,2),0))</f>
        <v>0</v>
      </c>
      <c r="AB41" s="214">
        <f>IF((IF(E41="ND",14-IF(D41="",0,VLOOKUP(D41,Datenblatt!$L$2:$M$30,2,FALSE)),IF(E41="ND12,5",2,0)))&lt;0,0,(IF(E41="ND",14-IF(D41="",0,VLOOKUP(D41,Datenblatt!$L$2:$M$30,2,FALSE)),IF(E41="ND12,5",2,0))))</f>
        <v>0</v>
      </c>
      <c r="AC41" s="214">
        <f t="shared" si="7"/>
        <v>0</v>
      </c>
      <c r="AD41" s="214">
        <f t="shared" si="8"/>
        <v>0</v>
      </c>
      <c r="AE41" s="214">
        <f t="shared" si="9"/>
        <v>0</v>
      </c>
      <c r="AF41" s="112">
        <f t="shared" si="10"/>
        <v>0</v>
      </c>
      <c r="AG41" s="112">
        <f t="shared" si="11"/>
        <v>0</v>
      </c>
      <c r="AH41" s="112">
        <f>IF(E41="",0,VLOOKUP(E41,Datenblatt!$E$2:$G$28,3,FALSE))</f>
        <v>0</v>
      </c>
    </row>
    <row r="42" spans="1:34" ht="13" customHeight="1">
      <c r="A42" s="89" t="str">
        <f>IF(ISERROR(VLOOKUP(C42,Datenblatt!$B$84:$B$97,1,FALSE)),"","Ft")</f>
        <v/>
      </c>
      <c r="B42" s="84">
        <f t="shared" si="0"/>
        <v>45625</v>
      </c>
      <c r="C42" s="87">
        <f>C41+1</f>
        <v>45625</v>
      </c>
      <c r="D42" s="67"/>
      <c r="E42" s="67"/>
      <c r="F42" s="68"/>
      <c r="G42" s="69"/>
      <c r="H42" s="68"/>
      <c r="I42" s="68"/>
      <c r="J42" s="99"/>
      <c r="K42" s="21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20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10" t="str">
        <f>IF(D42="","",IF(E41="ND",VLOOKUP(D42,Datenblatt!$A$2:$C$31,3,FALSE)-1,IF(E41="ND12,5",VLOOKUP(D42,Datenblatt!$A$2:$C$31,3,FALSE)-0.5,VLOOKUP(D42,Datenblatt!$A$2:$C$31,3,FALSE))))</f>
        <v/>
      </c>
      <c r="N42" s="211" t="str">
        <f t="shared" si="2"/>
        <v/>
      </c>
      <c r="O42" s="211" t="str">
        <f t="shared" si="3"/>
        <v/>
      </c>
      <c r="P42" s="186">
        <f>IF(D42="",IF($P$47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$47="Freizeit",(-M42-J42+IF(ISNUMBER(N42),(N42*1.5),0)+IF(ISNUMBER(O42),(O42*2),0)+IF(OR(E42="ND",E42="ND12,5"),2,0)),(-M42-J42)),IF($P$47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103" t="str">
        <f>IF(D42="","",VLOOKUP(D42,Datenblatt!$A$2:$D$31,4,FALSE))</f>
        <v/>
      </c>
      <c r="R42" s="104" t="str">
        <f>IF(E42="","",VLOOKUP(E42,Datenblatt!$E$2:$G$28,2,FALSE))</f>
        <v/>
      </c>
      <c r="S42" s="107"/>
      <c r="T42" s="111">
        <f t="shared" si="5"/>
        <v>0</v>
      </c>
      <c r="U42" s="114">
        <f t="array" ref="U42">IF(T41=0,0,IF(AND((ROW(T41)=MATCH(TRUE,($T$1:$T$43)&gt;0,0)),(D41="ND")),IF(T41&lt;3,T41,3),IF(AND(ROW(T41)=MATCH(TRUE,($T$1:$T$43)&gt;0,0),D41="ND12,5"),IF(T41&lt;2.5,T41,2.5),IF(D41="ND12,5",2.5,(T41-V41-W41)))))</f>
        <v>0</v>
      </c>
      <c r="V42" s="112">
        <f t="array" ref="V42">IF(T42=0,0,IF(AND((ROW(T42)=MATCH(TRUE,($T$1:$T$43)&gt;0,0)),(D42="ND")),IF(AND(T42&gt;11,T42&lt;=25),T42-11,0),IF(AND(ROW(T42)=MATCH(TRUE,($T$1:$T$43)&gt;0,0),D42="ND12,5"),IF(AND(T42&gt;10.5,T42&lt;=12.5),T42-10.5,0),IF(D42="ND12,5",2,IF(T42&lt;14,T42,14)))))</f>
        <v>0</v>
      </c>
      <c r="W42" s="112">
        <f t="array" ref="W42">IF(T42=0,0,IF(AND((ROW(T42)=MATCH(TRUE,($T$1:$T$43)&gt;0,0)),(D42="ND")),IF(AND(T42&gt;3,T42&lt;11),T42-3,IF(T42&gt;=11,8,0)),IF(AND((ROW(T42)=MATCH(TRUE,($T$1:$T$43)&gt;0,0)),(D42="ND12,5")),IF(AND(T42&gt;2.5,T42&lt;10.5),T42-2.5,IF(T42&gt;=10.5,8,0)),IF(D42="ND12,5",8,IF(AND(T42&gt;14,T42&lt;22),(T42-V42),IF(T42&gt;=22,8,0))))))</f>
        <v>0</v>
      </c>
      <c r="X42" s="254">
        <f t="array" ref="X42">IF(T42=0,0,IF((AND((ROW(T42)=MATCH(TRUE,($T$1:$T$43)&gt;0,0)))),IF(W42&gt;=6,W42-6,0),IF(W42&gt;=2,2,W42)))</f>
        <v>0</v>
      </c>
      <c r="Y42" s="254">
        <f t="array" ref="Y42">IF(T41=0,0,(IF((AND((ROW(T41)=MATCH(TRUE,($T$1:$T$43)&gt;0,0)))),IF(W41&gt;=6,6,W41),IF(W41&gt;=2,W41-2,0))))</f>
        <v>0</v>
      </c>
      <c r="Z42" s="111" t="str">
        <f t="shared" si="6"/>
        <v/>
      </c>
      <c r="AA42" s="214">
        <f>IF(E41="ND",IF(ISERROR(MATCH(D42,Datenblatt!$L$2:$L$18,0)),3,2),IF(E41="ND12,5",IF(ISERROR(MATCH(D42,Datenblatt!$L$2:$L$18,0)),2.5,2),0))</f>
        <v>0</v>
      </c>
      <c r="AB42" s="214">
        <f>IF((IF(E42="ND",14-IF(D42="",0,VLOOKUP(D42,Datenblatt!$L$2:$M$30,2,FALSE)),IF(E42="ND12,5",2,0)))&lt;0,0,(IF(E42="ND",14-IF(D42="",0,VLOOKUP(D42,Datenblatt!$L$2:$M$30,2,FALSE)),IF(E42="ND12,5",2,0))))</f>
        <v>0</v>
      </c>
      <c r="AC42" s="214">
        <f t="shared" si="7"/>
        <v>0</v>
      </c>
      <c r="AD42" s="214">
        <f t="shared" si="8"/>
        <v>0</v>
      </c>
      <c r="AE42" s="214">
        <f t="shared" si="9"/>
        <v>0</v>
      </c>
      <c r="AF42" s="112">
        <f t="shared" si="10"/>
        <v>0</v>
      </c>
      <c r="AG42" s="112">
        <f t="shared" si="11"/>
        <v>0</v>
      </c>
      <c r="AH42" s="112">
        <f>IF(E42="",0,VLOOKUP(E42,Datenblatt!$E$2:$G$28,3,FALSE))</f>
        <v>0</v>
      </c>
    </row>
    <row r="43" spans="1:34" ht="13" customHeight="1">
      <c r="A43" s="89" t="str">
        <f>IF(ISERROR(VLOOKUP(C43,Datenblatt!$B$84:$B$97,1,FALSE)),"","Ft")</f>
        <v/>
      </c>
      <c r="B43" s="159">
        <f t="shared" si="0"/>
        <v>45626</v>
      </c>
      <c r="C43" s="160">
        <f>C42+1</f>
        <v>45626</v>
      </c>
      <c r="D43" s="67"/>
      <c r="E43" s="67"/>
      <c r="F43" s="68"/>
      <c r="G43" s="69"/>
      <c r="H43" s="68"/>
      <c r="I43" s="68"/>
      <c r="J43" s="99"/>
      <c r="K43" s="21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209" t="str">
        <f>IF(D43="","",IF(OR(E42="ND",E42="ND12,5",E43="ND12,5",E43="ZA",E43="NDG",E43="RG",E43="WR"),0+AE43,IF(OR(D43="U",D43="SU",D43="PK",D43="K",D43="KA"),VLOOKUP(D43,Datenblatt!$A$2:$E$31,2,FALSE),VLOOKUP(D43,Datenblatt!$A$2:$C$31,2,FALSE)-J43-L44)))</f>
        <v/>
      </c>
      <c r="M43" s="210" t="str">
        <f>IF(D43="","",IF(E42="ND",VLOOKUP(D43,Datenblatt!$A$2:$C$31,3,FALSE)-1,IF(E42="ND12,5",VLOOKUP(D43,Datenblatt!$A$2:$C$31,3,FALSE)-0.5,VLOOKUP(D43,Datenblatt!$A$2:$C$31,3,FALSE)-M44)))</f>
        <v/>
      </c>
      <c r="N43" s="211" t="str">
        <f t="shared" si="2"/>
        <v/>
      </c>
      <c r="O43" s="211" t="str">
        <f t="shared" si="3"/>
        <v/>
      </c>
      <c r="P43" s="186">
        <f>IF(D43="",IF($P$47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$47="Freizeit",(-M43-J43+IF(ISNUMBER(N43),(N43*1.5),0)+IF(ISNUMBER(O43),(O43*2),0)+IF(OR(E43="ND",E43="ND12,5"),2,0)),(-M43-J43)),IF($P$47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103" t="str">
        <f>IF(D43="","",VLOOKUP(D43,Datenblatt!$A$2:$D$31,4,FALSE))</f>
        <v/>
      </c>
      <c r="R43" s="104" t="str">
        <f>IF(E43="","",VLOOKUP(E43,Datenblatt!$E$2:$G$28,2,FALSE))</f>
        <v/>
      </c>
      <c r="S43" s="107"/>
      <c r="T43" s="111">
        <f t="shared" si="5"/>
        <v>0</v>
      </c>
      <c r="U43" s="114">
        <f t="array" ref="U43">IF(T42=0,0,IF(AND((ROW(T42)=MATCH(TRUE,($T$1:$T$43)&gt;0,0)),(D42="ND")),IF(T42&lt;3,T42,3),IF(AND(ROW(T42)=MATCH(TRUE,($T$1:$T$43)&gt;0,0),D42="ND12,5"),IF(T42&lt;2.5,T42,2.5),IF(D42="ND12,5",2.5,(T42-V42-W42)))))</f>
        <v>0</v>
      </c>
      <c r="V43" s="112">
        <f t="array" ref="V43">IF(T43=0,0,IF(AND((ROW(T43)=MATCH(TRUE,($T$1:$T$43)&gt;0,0)),(D43="ND")),IF(T43&gt;2,T43-2,0),IF(AND(ROW(T43)=MATCH(TRUE,($T$1:$T$43)&gt;0,0),D43="ND12,5"),IF(T43&gt;2,T43-2,0),IF(D43="ND12,5",IF(T43&gt;2,T43-2,0),(IF(T43&lt;14,T43,14))))))</f>
        <v>0</v>
      </c>
      <c r="W43" s="112">
        <f t="array" ref="W43">IF(T43=0,0,IF(AND((ROW(T43)=MATCH(TRUE,($T$1:$T$43)&gt;0,0)),(D43="ND")),IF(T43&gt;=2,2,T43),IF(AND((ROW(T43)=MATCH(TRUE,($T$1:$T$43)&gt;0,0)),(D43="ND12,5")),IF(T43&gt;=2,2,T43),IF(D43="ND12,5",2,IF(AND(T43&gt;14,T43&lt;22),(T43-V43),IF(T43&gt;=22,8,0))))))</f>
        <v>0</v>
      </c>
      <c r="X43" s="254">
        <f t="array" ref="X43">IF(T43=0,0,IF((AND((ROW(T43)=MATCH(TRUE,($T$1:$T$43)&gt;0,0)))),IF(W43&gt;=0,W43-0,0),IF(W43&gt;=2,2,W43)))</f>
        <v>0</v>
      </c>
      <c r="Y43" s="254">
        <f t="array" ref="Y43">IF(T42=0,0,(IF((AND((ROW(T42)=MATCH(TRUE,($T$1:$T$43)&gt;0,0)))),IF(W42&gt;=6,6,W42),IF(W42&gt;=2,W42-2,0))))</f>
        <v>0</v>
      </c>
      <c r="Z43" s="111" t="str">
        <f t="shared" si="6"/>
        <v/>
      </c>
      <c r="AA43" s="214">
        <f>IF(E42="ND",IF(ISERROR(MATCH(D43,Datenblatt!$L$2:$L$18,0)),3,2),IF(E42="ND12,5",IF(ISERROR(MATCH(D43,Datenblatt!$L$2:$L$18,0)),2.5,2),0))</f>
        <v>0</v>
      </c>
      <c r="AB43" s="214">
        <f>IF((IF(E43="ND",14-IF(D43="",0,VLOOKUP(D43,Datenblatt!$L$2:$M$30,2,FALSE)),IF(E43="ND12,5",2,0)))&lt;0,0,(IF(E43="ND",14-IF(D43="",0,VLOOKUP(D43,Datenblatt!$L$2:$M$30,2,FALSE)),IF(E43="ND12,5",2,0))))</f>
        <v>0</v>
      </c>
      <c r="AC43" s="214">
        <f t="shared" si="7"/>
        <v>0</v>
      </c>
      <c r="AD43" s="214">
        <f t="shared" si="8"/>
        <v>0</v>
      </c>
      <c r="AE43" s="214">
        <f t="shared" si="9"/>
        <v>0</v>
      </c>
      <c r="AF43" s="112">
        <f t="shared" si="10"/>
        <v>0</v>
      </c>
      <c r="AG43" s="112">
        <f t="shared" si="11"/>
        <v>0</v>
      </c>
      <c r="AH43" s="112">
        <f>IF(E43="",0,VLOOKUP(E43,Datenblatt!$E$2:$G$28,3,FALSE))</f>
        <v>0</v>
      </c>
    </row>
    <row r="44" spans="1:34" ht="13" customHeight="1" thickBot="1">
      <c r="A44" s="227" t="str">
        <f>IF(ISERROR(VLOOKUP(C44,Datenblatt!$B$84:$B$97,1,FALSE)),"","Ft")</f>
        <v/>
      </c>
      <c r="B44" s="153"/>
      <c r="C44" s="150"/>
      <c r="D44" s="150"/>
      <c r="E44" s="150"/>
      <c r="F44" s="150"/>
      <c r="G44" s="150"/>
      <c r="H44" s="150"/>
      <c r="I44" s="150"/>
      <c r="J44" s="154">
        <f>SUM(J14:J43)</f>
        <v>0</v>
      </c>
      <c r="K44" s="213">
        <f>SUM(K14:K43)</f>
        <v>0</v>
      </c>
      <c r="L44" s="172" t="str">
        <f>IF(D43="ND",9,IF(D43="ND12,5",8.5,"0"))</f>
        <v>0</v>
      </c>
      <c r="M44" s="172" t="str">
        <f>IF(D43="ND",9,IF(D43="ND12,5",8.5,"0"))</f>
        <v>0</v>
      </c>
      <c r="N44" s="219">
        <f t="shared" ref="N44:O44" si="12">SUM(N14:N43)</f>
        <v>0</v>
      </c>
      <c r="O44" s="219">
        <f t="shared" si="12"/>
        <v>0</v>
      </c>
      <c r="P44" s="197">
        <f>SUM(P14:P43)</f>
        <v>0</v>
      </c>
      <c r="Q44" s="175"/>
      <c r="R44" s="156"/>
      <c r="S44" s="157"/>
      <c r="T44" s="155"/>
      <c r="U44" s="115"/>
      <c r="V44" s="116"/>
      <c r="W44" s="116"/>
      <c r="X44" s="116"/>
      <c r="Y44" s="116"/>
      <c r="Z44" s="155"/>
      <c r="AA44" s="215"/>
      <c r="AB44" s="215"/>
      <c r="AC44" s="215"/>
      <c r="AD44" s="215"/>
      <c r="AE44" s="215"/>
      <c r="AF44" s="215"/>
      <c r="AG44" s="215"/>
      <c r="AH44" s="215"/>
    </row>
    <row r="45" spans="1:34" s="80" customFormat="1" ht="0.75" customHeight="1" thickBot="1">
      <c r="A45" s="470"/>
      <c r="B45" s="70"/>
      <c r="C45" s="71"/>
      <c r="D45" s="72"/>
      <c r="E45" s="102"/>
      <c r="F45" s="73"/>
      <c r="G45" s="74"/>
      <c r="H45" s="75"/>
      <c r="I45" s="74"/>
      <c r="J45" s="76"/>
      <c r="K45" s="94"/>
      <c r="L45" s="75"/>
      <c r="M45" s="77"/>
      <c r="N45" s="77"/>
      <c r="O45" s="78"/>
      <c r="P45" s="79"/>
      <c r="Q45" s="74"/>
      <c r="R45" s="70"/>
      <c r="T45" s="117"/>
      <c r="U45" s="117"/>
      <c r="V45" s="117"/>
      <c r="W45" s="117"/>
      <c r="X45" s="117"/>
      <c r="Y45" s="117"/>
      <c r="Z45" s="187"/>
      <c r="AA45" s="216"/>
      <c r="AB45" s="216"/>
      <c r="AC45" s="216"/>
      <c r="AD45" s="216"/>
      <c r="AE45" s="216"/>
      <c r="AF45" s="118"/>
      <c r="AG45" s="118"/>
      <c r="AH45" s="118"/>
    </row>
    <row r="46" spans="1:34" s="66" customFormat="1">
      <c r="A46" s="227"/>
      <c r="B46" s="168" t="s">
        <v>147</v>
      </c>
      <c r="C46" s="168"/>
      <c r="D46" s="59"/>
      <c r="E46" s="59"/>
      <c r="F46" s="56"/>
      <c r="G46" s="56"/>
      <c r="H46" s="56"/>
      <c r="I46" s="251"/>
      <c r="J46" s="251"/>
      <c r="K46" s="251"/>
      <c r="L46" s="542" t="s">
        <v>289</v>
      </c>
      <c r="M46" s="542"/>
      <c r="N46" s="542"/>
      <c r="O46" s="543"/>
      <c r="P46" s="201" t="s">
        <v>146</v>
      </c>
      <c r="Q46" s="348">
        <f>IF($P$46="ja",SUMPRODUCT((WEEKDAY($B$14:$B$43,2)=1)*2),0)</f>
        <v>0</v>
      </c>
      <c r="R46" s="158"/>
      <c r="S46" s="171"/>
      <c r="T46" s="118"/>
      <c r="U46" s="118"/>
      <c r="V46" s="118"/>
      <c r="W46" s="118"/>
      <c r="X46" s="118"/>
      <c r="Y46" s="118"/>
      <c r="Z46" s="188"/>
      <c r="AA46" s="217"/>
      <c r="AB46" s="217"/>
      <c r="AC46" s="217"/>
      <c r="AD46" s="217"/>
      <c r="AE46" s="217"/>
      <c r="AF46" s="243"/>
      <c r="AG46" s="243"/>
      <c r="AH46" s="243"/>
    </row>
    <row r="47" spans="1:34" s="66" customFormat="1">
      <c r="A47" s="227"/>
      <c r="B47" s="191" t="str">
        <f>"Verrechnung von Sonderzahlungen, Überstunden, Nachtgutstunden und Nachtdiensten erfolgt im Folgemonat"&amp;" "&amp;Start!$B$26</f>
        <v>Verrechnung von Sonderzahlungen, Überstunden, Nachtgutstunden und Nachtdiensten erfolgt im Folgemonat Dezember</v>
      </c>
      <c r="C47" s="168"/>
      <c r="D47" s="59"/>
      <c r="E47" s="59"/>
      <c r="F47" s="56"/>
      <c r="G47" s="56"/>
      <c r="H47" s="82"/>
      <c r="I47" s="82"/>
      <c r="J47" s="83"/>
      <c r="K47" s="83"/>
      <c r="L47" s="538" t="s">
        <v>290</v>
      </c>
      <c r="M47" s="538"/>
      <c r="N47" s="538"/>
      <c r="O47" s="539"/>
      <c r="P47" s="204" t="s">
        <v>292</v>
      </c>
      <c r="Q47" s="347" t="str">
        <f>IF($P$47="Freizeit","       als Gutstunden abgerechnet","       im Folgemonat ausbezahlt")</f>
        <v xml:space="preserve">       als Gutstunden abgerechnet</v>
      </c>
      <c r="R47" s="203"/>
      <c r="S47" s="192"/>
      <c r="T47" s="118"/>
      <c r="U47" s="118"/>
      <c r="V47" s="118"/>
      <c r="W47" s="118"/>
      <c r="X47" s="118"/>
      <c r="Y47" s="118"/>
      <c r="Z47" s="188"/>
      <c r="AA47" s="217"/>
      <c r="AB47" s="217"/>
      <c r="AC47" s="217"/>
      <c r="AD47" s="217"/>
      <c r="AE47" s="217"/>
      <c r="AF47" s="118"/>
      <c r="AG47" s="118"/>
      <c r="AH47" s="301"/>
    </row>
    <row r="48" spans="1:34" s="66" customFormat="1" ht="15" thickBot="1">
      <c r="A48" s="227"/>
      <c r="B48" s="168"/>
      <c r="C48" s="168"/>
      <c r="D48" s="59"/>
      <c r="E48" s="59"/>
      <c r="F48" s="56"/>
      <c r="G48" s="56"/>
      <c r="H48" s="82"/>
      <c r="I48" s="82"/>
      <c r="J48" s="83"/>
      <c r="K48" s="83"/>
      <c r="L48" s="88"/>
      <c r="M48" s="88"/>
      <c r="N48" s="59"/>
      <c r="O48" s="59"/>
      <c r="P48" s="59"/>
      <c r="S48" s="56"/>
      <c r="T48" s="118"/>
      <c r="U48" s="118"/>
      <c r="V48" s="118"/>
      <c r="W48" s="118"/>
      <c r="X48" s="118"/>
      <c r="Y48" s="118"/>
      <c r="Z48" s="188"/>
      <c r="AA48" s="217"/>
      <c r="AB48" s="217"/>
      <c r="AC48" s="217"/>
      <c r="AD48" s="217"/>
      <c r="AE48" s="217"/>
      <c r="AF48" s="118"/>
      <c r="AG48" s="118"/>
      <c r="AH48" s="301"/>
    </row>
    <row r="49" spans="1:34" s="66" customFormat="1" ht="13" hidden="1" customHeight="1">
      <c r="A49" s="227"/>
      <c r="B49" s="81"/>
      <c r="C49" s="81"/>
      <c r="D49" s="56"/>
      <c r="E49" s="56"/>
      <c r="F49" s="56"/>
      <c r="G49" s="56"/>
      <c r="H49" s="82"/>
      <c r="I49" s="82"/>
      <c r="J49" s="83"/>
      <c r="K49" s="83"/>
      <c r="L49" s="88"/>
      <c r="M49" s="88"/>
      <c r="N49" s="59"/>
      <c r="O49" s="59"/>
      <c r="P49" s="59"/>
      <c r="S49" s="56"/>
      <c r="T49" s="118"/>
      <c r="U49" s="118"/>
      <c r="V49" s="118"/>
      <c r="W49" s="118"/>
      <c r="X49" s="118"/>
      <c r="Y49" s="118"/>
      <c r="Z49" s="188"/>
      <c r="AA49" s="217"/>
      <c r="AB49" s="217"/>
      <c r="AC49" s="217"/>
      <c r="AD49" s="217"/>
      <c r="AE49" s="217"/>
      <c r="AF49" s="118"/>
      <c r="AG49" s="118"/>
      <c r="AH49" s="301"/>
    </row>
    <row r="50" spans="1:34" s="59" customFormat="1" ht="13" customHeight="1">
      <c r="A50" s="471"/>
      <c r="B50" s="452" t="s">
        <v>248</v>
      </c>
      <c r="C50" s="608" t="s">
        <v>249</v>
      </c>
      <c r="D50" s="608"/>
      <c r="E50" s="453" t="s">
        <v>412</v>
      </c>
      <c r="F50" s="272"/>
      <c r="G50" s="317" t="s">
        <v>83</v>
      </c>
      <c r="H50" s="318"/>
      <c r="I50" s="322"/>
      <c r="J50" s="322"/>
      <c r="K50" s="322"/>
      <c r="L50" s="319">
        <f>$Q$6</f>
        <v>5365.31</v>
      </c>
      <c r="N50" s="612" t="str">
        <f>"Monatsprofil"&amp;" "&amp;Start!$B$25</f>
        <v>Monatsprofil November</v>
      </c>
      <c r="O50" s="613"/>
      <c r="P50" s="614"/>
      <c r="T50" s="242"/>
      <c r="U50" s="242"/>
      <c r="V50" s="242"/>
      <c r="W50" s="242"/>
      <c r="X50" s="242"/>
      <c r="Y50" s="242"/>
      <c r="Z50" s="188"/>
      <c r="AA50" s="217"/>
      <c r="AB50" s="217"/>
      <c r="AC50" s="217"/>
      <c r="AD50" s="217"/>
      <c r="AE50" s="217"/>
      <c r="AF50" s="242"/>
      <c r="AG50" s="242"/>
      <c r="AH50" s="302"/>
    </row>
    <row r="51" spans="1:34" s="89" customFormat="1" ht="13" customHeight="1">
      <c r="A51" s="227"/>
      <c r="B51" s="355">
        <f>COUNTIF($D$14:$E$43,"U")-COUNTIFS($D$14:$D$43,"U",$E$14:$E$43,"K")-COUNTIFS($D$14:$D$43,"U",$E$14:$E$43,"PK")</f>
        <v>0</v>
      </c>
      <c r="C51" s="454" t="s">
        <v>18</v>
      </c>
      <c r="D51" s="455">
        <f>SUMIFS($P$14:$P$43,$D$14:$D$43,"U")+SUMIFS($P$14:$P$43,$E$14:$E$43,"U")</f>
        <v>0</v>
      </c>
      <c r="E51" s="456"/>
      <c r="F51" s="316"/>
      <c r="G51" s="341" t="s">
        <v>354</v>
      </c>
      <c r="H51" s="342"/>
      <c r="I51" s="343"/>
      <c r="J51" s="343"/>
      <c r="K51" s="343"/>
      <c r="L51" s="344">
        <f>IF(OR(Start!$D$8=Gehalt!$K$37,Start!$D$8=Gehalt!$K$39,Start!$D$8=Gehalt!$K$41),Gehalt!$C$29,0)</f>
        <v>0</v>
      </c>
      <c r="N51" s="615"/>
      <c r="O51" s="616"/>
      <c r="P51" s="617"/>
      <c r="T51" s="278" t="s">
        <v>398</v>
      </c>
      <c r="U51" s="119">
        <f>SUMPRODUCT(($U$14:$U$43)*(ISNUMBER(FIND("Ft",$A$14:$A$43))))+SUMPRODUCT((($U$14:$U$43)*1)*(WEEKDAY($B$14:$B$43,2)=7))-SUMPRODUCT((($U$14:$U$43)*1)*(WEEKDAY($B$14:$B$43,2)=7)*(ISNUMBER(FIND("Ft",$A$14:$A$43))))</f>
        <v>0</v>
      </c>
      <c r="V51" s="119">
        <f>SUMPRODUCT(($V$14:$V$43)*(ISNUMBER(FIND("Ft",$A$14:$A$43))))+SUMPRODUCT((($V$14:$V$43)*1)*(WEEKDAY($B$14:$B$43,2)=7))-SUMPRODUCT((($V$14:$V$43)*1)*(WEEKDAY($B$14:$B$43,2)=7)*(ISNUMBER(FIND("Ft",$A$14:$A$43))))</f>
        <v>0</v>
      </c>
      <c r="W51" s="119">
        <f>SUM($W$14:$W$43)</f>
        <v>0</v>
      </c>
      <c r="X51" s="255"/>
      <c r="Y51" s="256"/>
      <c r="Z51" s="278" t="s">
        <v>398</v>
      </c>
      <c r="AA51" s="214">
        <f>SUMPRODUCT(($AA$14:$AA$43)*(ISNUMBER(FIND("Ft",$A$14:$A$43))))+SUMPRODUCT((($AA$14:$AA$43)*1)*(WEEKDAY($B$14:$B$43,2)=7))-SUMPRODUCT((($AA$14:$AA$43)*1)*(WEEKDAY($B$14:$B$43,2)=7)*(ISNUMBER(FIND("Ft",$A$14:$A$43))))</f>
        <v>0</v>
      </c>
      <c r="AB51" s="214">
        <f>SUMPRODUCT(($AB$14:$AB$43)*(ISNUMBER(FIND("Ft",$A$14:$A$43))))+SUMPRODUCT((($AB$14:$AB$43)*1)*(WEEKDAY($B$14:$B$43,2)=7))-SUMPRODUCT((($AB$14:$AB$43)*1)*(WEEKDAY($B$14:$B$43,2)=7)*(ISNUMBER(FIND("Ft",$A$14:$A$43))))</f>
        <v>0</v>
      </c>
      <c r="AC51" s="214">
        <f>SUM($AC$14:$AC$43)</f>
        <v>0</v>
      </c>
      <c r="AD51" s="214">
        <f>SUM($AD$14:$AD$43)</f>
        <v>0</v>
      </c>
      <c r="AE51" s="217"/>
      <c r="AF51" s="188"/>
      <c r="AG51" s="278" t="s">
        <v>398</v>
      </c>
      <c r="AH51" s="214">
        <f>SUMPRODUCT(($AH$14:$AH$43)*(ISNUMBER(FIND("Ft",$A$14:$A$43))))+SUMPRODUCT((($AH$14:$AH$43)*1)*(WEEKDAY($B$14:$B$43,2)=7))-SUMPRODUCT((($AH$14:$AH$43)*1)*(WEEKDAY($B$14:$B$43,2)=7)*(ISNUMBER(FIND("Ft",$A$14:$A$43))))</f>
        <v>0</v>
      </c>
    </row>
    <row r="52" spans="1:34" s="89" customFormat="1" ht="13" customHeight="1">
      <c r="A52" s="227"/>
      <c r="B52" s="355">
        <f>COUNTIF($D$14:$E$43,"ZA")-COUNTIFS($D$14:$D$43,"ZA",$E$14:$E$43,"K")-COUNTIFS($D$14:$D$43,"ZA",$E$14:$E$43,"PK")</f>
        <v>0</v>
      </c>
      <c r="C52" s="454" t="s">
        <v>21</v>
      </c>
      <c r="D52" s="457">
        <f>SUMIFS($P$14:$P$43,$D$14:$D$43,"ZA")+SUMIFS($P$14:$P$43,$E$14:$E$43,"ZA")-$J$44</f>
        <v>0</v>
      </c>
      <c r="E52" s="458">
        <f>IF($P$47="Freizeit",SUM($N$44*1.5,$O$44*2),0)+$J$54*1.5</f>
        <v>0</v>
      </c>
      <c r="F52" s="272"/>
      <c r="G52" s="323" t="str">
        <f>"9545 Nachtdienstpauschale Gesamt ("&amp;""&amp;Gehalt!$M$25&amp;""&amp;"€/h)"</f>
        <v>9545 Nachtdienstpauschale Gesamt (29,44€/h)</v>
      </c>
      <c r="H52" s="151"/>
      <c r="I52" s="151"/>
      <c r="J52" s="151"/>
      <c r="K52" s="264">
        <f>SUM($AF$14:$AG$43)</f>
        <v>0</v>
      </c>
      <c r="L52" s="226">
        <f>$K$52*Gehalt!$M$25</f>
        <v>0</v>
      </c>
      <c r="N52" s="540" t="s">
        <v>237</v>
      </c>
      <c r="O52" s="541"/>
      <c r="P52" s="352">
        <f>VLOOKUP($B$8,Datenblatt!$A$100:$I$112,2,FALSE)</f>
        <v>30</v>
      </c>
      <c r="T52" s="279" t="s">
        <v>104</v>
      </c>
      <c r="U52" s="269">
        <f>SUM($U$14:$U$43)-$U$51</f>
        <v>0</v>
      </c>
      <c r="V52" s="269">
        <f>SUM($V$14:$V$43)-$V$51</f>
        <v>0</v>
      </c>
      <c r="W52" s="257"/>
      <c r="X52" s="265"/>
      <c r="Y52" s="256"/>
      <c r="Z52" s="280" t="s">
        <v>104</v>
      </c>
      <c r="AA52" s="214">
        <f>SUM($AA$14:$AA$43)-$AA$51</f>
        <v>0</v>
      </c>
      <c r="AB52" s="214">
        <f>SUM($AB$14:$AB$43)-$AB$51</f>
        <v>0</v>
      </c>
      <c r="AC52" s="260"/>
      <c r="AD52" s="261"/>
      <c r="AE52" s="217"/>
      <c r="AF52" s="188"/>
      <c r="AG52" s="280" t="s">
        <v>104</v>
      </c>
      <c r="AH52" s="214">
        <f>SUM($AH$14:$AH$43)-$AH$51</f>
        <v>0</v>
      </c>
    </row>
    <row r="53" spans="1:34" s="89" customFormat="1" ht="13" customHeight="1">
      <c r="A53" s="227"/>
      <c r="B53" s="355">
        <f>COUNTIF($D$14:$E$43,"RG")-COUNTIFS($D$14:$D$43,"U",$E$14:$E$43,"RG")-COUNTIFS($D$14:$D$43,"RG",$E$14:$E$43,"PK")</f>
        <v>0</v>
      </c>
      <c r="C53" s="359" t="s">
        <v>132</v>
      </c>
      <c r="D53" s="455">
        <f>SUMIFS($P$14:$P$43,$D$14:$D$43,"RG")+SUMIFS($P$14:$P$43,$E$14:$E$43,"RG")</f>
        <v>0</v>
      </c>
      <c r="E53" s="459">
        <f>$Q$46</f>
        <v>0</v>
      </c>
      <c r="G53" s="323" t="str">
        <f>"9547 Sonn- und Feiertagszulage ("&amp;""&amp;Gehalt!$M$26&amp;""&amp;"€/h)"</f>
        <v>9547 Sonn- und Feiertagszulage (18,5€/h)</v>
      </c>
      <c r="H53" s="151"/>
      <c r="I53" s="151"/>
      <c r="J53" s="151"/>
      <c r="K53" s="22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26">
        <f>$K$53*Gehalt!$M$26</f>
        <v>0</v>
      </c>
      <c r="N53" s="540" t="s">
        <v>238</v>
      </c>
      <c r="O53" s="541"/>
      <c r="P53" s="352">
        <f>VLOOKUP($B$8,Datenblatt!$A$100:$I$112,3,FALSE)</f>
        <v>1</v>
      </c>
      <c r="T53" s="277" t="s">
        <v>399</v>
      </c>
      <c r="U53" s="112">
        <f>SUMPRODUCT(($U$14:$U$43)*(ISNUMBER(FIND("Ft",$A$14:$A$43))))+SUMPRODUCT((($U$14:$U$43)*1)*(WEEKDAY($B$14:$B$43,2)=7))-SUMPRODUCT((($U$14:$U$43)*1)*(WEEKDAY($B$14:$B$43,2)=7)*(ISNUMBER(FIND("Ft",$A$14:$A$43))))</f>
        <v>0</v>
      </c>
      <c r="V53" s="112">
        <f>SUMPRODUCT(($V$14:$V$43)*(ISNUMBER(FIND("Ft",$A$14:$A$43))))+SUMPRODUCT((($V$14:$V$43)*1)*(WEEKDAY($B$14:$B$43,2)=7))-SUMPRODUCT((($V$14:$V$43)*1)*(WEEKDAY($B$14:$B$43,2)=7)*(ISNUMBER(FIND("Ft",$A$14:$A$43))))+IF(SUMIFS($V$14:$V$43,$A$14:$A$43,"HFt")&gt;8,8,(SUMIFS($V$14:$V$43,$A$14:$A$43,"HFt")))</f>
        <v>0</v>
      </c>
      <c r="W53" s="270"/>
      <c r="X53" s="112">
        <f>SUMPRODUCT(($X$14:$X$43)*(ISNUMBER(FIND("Ft",$A$14:$A$43))))+SUMPRODUCT((($X$14:$X$43)*1)*(WEEKDAY($B$14:$B$43,2)=7))-SUMPRODUCT((($X$14:$X$43)*1)*(WEEKDAY($B$14:$B$43,2)=7)*(ISNUMBER(FIND("Ft",$A$14:$A$43))))+IF(SUMIFS($X$14:$X$43,$A$14:$A$43,"HFt")&gt;2,2,(SUMIFS($X$14:$X$43,$A$14:$A$43,"HFt")))</f>
        <v>0</v>
      </c>
      <c r="Y53" s="112">
        <f>SUMPRODUCT(($Y$14:$Y$43)*(ISNUMBER(FIND("Ft",$A$14:$A$43))))+SUMPRODUCT((($Y$14:$Y$43)*1)*(WEEKDAY($B$14:$B$43,2)=7))-SUMPRODUCT((($Y$14:$Y$43)*1)*(WEEKDAY($B$14:$B$43,2)=7)*(ISNUMBER(FIND("Ft",$A$14:$A$43))))</f>
        <v>0</v>
      </c>
      <c r="Z53" s="258"/>
      <c r="AA53" s="258"/>
      <c r="AB53" s="258"/>
      <c r="AC53" s="259"/>
      <c r="AD53" s="259"/>
      <c r="AE53" s="188"/>
      <c r="AF53" s="188"/>
      <c r="AG53" s="188"/>
      <c r="AH53" s="302"/>
    </row>
    <row r="54" spans="1:34" s="89" customFormat="1" ht="13" customHeight="1">
      <c r="A54" s="227"/>
      <c r="B54" s="355">
        <f>COUNTIF($D$14:$E$43,"NDG")-COUNTIFS($D$14:$D$43,"NDG",$E$14:$E$43,"K")-COUNTIFS($D$14:$D$43,"NDG",$E$14:$E$43,"PK")</f>
        <v>0</v>
      </c>
      <c r="C54" s="359" t="s">
        <v>131</v>
      </c>
      <c r="D54" s="455">
        <f>SUMIFS($P$14:$P$43,$D$14:$D$43,"NDG")+SUMIFS($P$14:$P$43,$E$14:$E$43,"NDG")</f>
        <v>0</v>
      </c>
      <c r="E54" s="459">
        <f>$N$6*2-COUNTIFS($D$14:$D$43,"ND",$E$14:$E$43,"K")*2-COUNTIFS($D$14:$D$43,"ND12,5",$E$14:$E$43,"K")*2-COUNTIFS($D$14:$D$43,"ND",$E$13:$E$42,"ND")*2-COUNTIFS($D$14:$D$43,"ND12,5",$E$13:$E$42,"ND")*2-COUNTIFS($D$14:$D$43,"ND",$E$13:$E$42,"ND12,5")*2</f>
        <v>0</v>
      </c>
      <c r="G54" s="609" t="s">
        <v>295</v>
      </c>
      <c r="H54" s="610"/>
      <c r="I54" s="611"/>
      <c r="J54" s="390">
        <v>0</v>
      </c>
      <c r="K54" s="225">
        <f>IF($P$47="finanziell",SUM($L$62),0)+$L$66+$L$70-$J$54</f>
        <v>0</v>
      </c>
      <c r="L54" s="226">
        <f>$K$54*$L$60</f>
        <v>0</v>
      </c>
      <c r="M54" s="56"/>
      <c r="N54" s="540" t="s">
        <v>239</v>
      </c>
      <c r="O54" s="541"/>
      <c r="P54" s="352">
        <f>VLOOKUP($B$8,Datenblatt!$A$100:$I$112,4,FALSE)</f>
        <v>9</v>
      </c>
      <c r="Q54" s="56"/>
      <c r="T54" s="242"/>
      <c r="U54" s="242"/>
      <c r="V54" s="242"/>
      <c r="W54" s="188"/>
      <c r="X54" s="188"/>
      <c r="Y54" s="188"/>
      <c r="Z54" s="242"/>
      <c r="AA54" s="242"/>
      <c r="AB54" s="242"/>
      <c r="AC54" s="188"/>
      <c r="AD54" s="188"/>
      <c r="AE54" s="188"/>
      <c r="AF54" s="188"/>
      <c r="AG54" s="188"/>
      <c r="AH54" s="302"/>
    </row>
    <row r="55" spans="1:34" s="89" customFormat="1" ht="13" customHeight="1">
      <c r="A55" s="227"/>
      <c r="B55" s="460"/>
      <c r="C55" s="359" t="s">
        <v>170</v>
      </c>
      <c r="D55" s="455">
        <f>SUMIFS($M$14:$M$43,$D$14:$D$43,"U")</f>
        <v>0</v>
      </c>
      <c r="E55" s="456"/>
      <c r="G55" s="323" t="s">
        <v>227</v>
      </c>
      <c r="H55" s="151"/>
      <c r="I55" s="151"/>
      <c r="J55" s="151"/>
      <c r="K55" s="225">
        <f>IF($P$47="finanziell",SUM($L$63),0)+$L$71+$L$67</f>
        <v>0</v>
      </c>
      <c r="L55" s="226">
        <f>$K$55*$L$61</f>
        <v>0</v>
      </c>
      <c r="M55" s="59"/>
      <c r="N55" s="540" t="s">
        <v>240</v>
      </c>
      <c r="O55" s="541"/>
      <c r="P55" s="352">
        <f>VLOOKUP($B$8,Datenblatt!$A$100:$I$112,5,FALSE)</f>
        <v>20</v>
      </c>
      <c r="T55" s="242"/>
      <c r="U55" s="242"/>
      <c r="V55" s="242"/>
      <c r="W55" s="188"/>
      <c r="X55" s="188"/>
      <c r="Y55" s="188"/>
      <c r="Z55" s="242"/>
      <c r="AA55" s="242"/>
      <c r="AB55" s="242"/>
      <c r="AC55" s="188"/>
      <c r="AD55" s="188"/>
      <c r="AE55" s="188"/>
      <c r="AF55" s="188"/>
      <c r="AG55" s="188"/>
      <c r="AH55" s="302"/>
    </row>
    <row r="56" spans="1:34" s="89" customFormat="1" ht="13" customHeight="1">
      <c r="A56" s="227"/>
      <c r="B56" s="355">
        <f>COUNTIF($D$14:$E$43,"SU")-COUNTIFS($D$14:$D$43,"SU",$E$14:$E$43,"K")-COUNTIFS($D$14:$D$43,"SU",$E$14:$E$43,"PK")</f>
        <v>0</v>
      </c>
      <c r="C56" s="359" t="s">
        <v>172</v>
      </c>
      <c r="D56" s="455">
        <f>SUMIFS($M$14:$M$43,$D$14:$D$43,"SU")</f>
        <v>0</v>
      </c>
      <c r="E56" s="456"/>
      <c r="G56" s="323" t="s">
        <v>285</v>
      </c>
      <c r="H56" s="151"/>
      <c r="I56" s="151"/>
      <c r="J56" s="151"/>
      <c r="K56" s="224">
        <f ca="1">IF(Oktober!$P$63-SUM(Start!$E$20:$E$25)*2&lt;=0,0,Oktober!$P$63-SUM(Start!$E$20:$E$25)*2)</f>
        <v>0</v>
      </c>
      <c r="L56" s="226">
        <f ca="1">$K$56*(ROUNDDOWN((($Q$6-35)/173*1),2))</f>
        <v>0</v>
      </c>
      <c r="N56" s="540" t="s">
        <v>241</v>
      </c>
      <c r="O56" s="541"/>
      <c r="P56" s="352">
        <f>VLOOKUP($B$8,Datenblatt!$A$100:$I$112,7,FALSE)</f>
        <v>21</v>
      </c>
      <c r="T56" s="242"/>
      <c r="U56" s="242"/>
      <c r="V56" s="242"/>
      <c r="W56" s="188"/>
      <c r="X56" s="188"/>
      <c r="Y56" s="188"/>
      <c r="Z56" s="242"/>
      <c r="AA56" s="242"/>
      <c r="AB56" s="242"/>
      <c r="AC56" s="188"/>
      <c r="AD56" s="188"/>
      <c r="AE56" s="188"/>
      <c r="AF56" s="188"/>
      <c r="AG56" s="188"/>
      <c r="AH56" s="302"/>
    </row>
    <row r="57" spans="1:34" s="89" customFormat="1" ht="13" customHeight="1">
      <c r="A57" s="227"/>
      <c r="B57" s="355">
        <f>COUNTIF($D$14:$E$43,"PK")</f>
        <v>0</v>
      </c>
      <c r="C57" s="359" t="s">
        <v>171</v>
      </c>
      <c r="D57" s="455">
        <f>SUMIFS($M$14:$M$43,$D$14:$D$43,"PK")</f>
        <v>0</v>
      </c>
      <c r="E57" s="456"/>
      <c r="G57" s="391" t="s">
        <v>297</v>
      </c>
      <c r="H57" s="392"/>
      <c r="I57" s="392"/>
      <c r="J57" s="151"/>
      <c r="K57" s="225">
        <f>IF(OR(Start!$D$8=Gehalt!$K$37,Start!$D$8=Gehalt!$K$39,Start!$D$8=Gehalt!$K$41),SUMIFS($M$14:$M$43,$Q$14:$Q$43,"=Tagdienst*",$E$14:$E$43,"&lt;&gt;*")+SUMIFS($AH$14:$AH$43,$R$14:$R$43,"=Tagdienst*"),0)</f>
        <v>0</v>
      </c>
      <c r="L57" s="226">
        <f>$K$57*Gehalt!$C$28</f>
        <v>0</v>
      </c>
      <c r="N57" s="540" t="s">
        <v>236</v>
      </c>
      <c r="O57" s="541"/>
      <c r="P57" s="352">
        <f>VLOOKUP($B$8,Datenblatt!$A$100:$I$112,6,FALSE)</f>
        <v>160</v>
      </c>
      <c r="T57" s="242"/>
      <c r="U57" s="242"/>
      <c r="V57" s="242"/>
      <c r="W57" s="188"/>
      <c r="X57" s="188"/>
      <c r="Y57" s="188"/>
      <c r="Z57" s="242"/>
      <c r="AA57" s="242"/>
      <c r="AB57" s="242"/>
      <c r="AC57" s="188"/>
      <c r="AD57" s="188"/>
      <c r="AE57" s="188"/>
      <c r="AF57" s="188"/>
      <c r="AG57" s="188"/>
      <c r="AH57" s="302"/>
    </row>
    <row r="58" spans="1:34" s="89" customFormat="1" ht="13" customHeight="1">
      <c r="A58" s="227"/>
      <c r="B58" s="355">
        <f>COUNTIF($D$14:$E$43,"K")+COUNTIF($D$14:$E$43,"KA")</f>
        <v>0</v>
      </c>
      <c r="C58" s="359" t="s">
        <v>418</v>
      </c>
      <c r="D58" s="455">
        <f>SUMIFS($M$14:$M$43,$D$14:$D$43,"K")+SUMIFS($M$14:$M$43,$D$14:$D$43,"KA")</f>
        <v>0</v>
      </c>
      <c r="E58" s="456"/>
      <c r="G58" s="323" t="s">
        <v>296</v>
      </c>
      <c r="H58" s="151"/>
      <c r="I58" s="151"/>
      <c r="J58" s="393" t="s">
        <v>146</v>
      </c>
      <c r="K58" s="225"/>
      <c r="L58" s="226">
        <f>IF($J$58="ja",Gehalt!$C$27*2,0)</f>
        <v>0</v>
      </c>
      <c r="N58" s="618" t="str">
        <f>"Stundenkonto Monatsende"&amp;" "&amp;Start!$B$25</f>
        <v>Stundenkonto Monatsende November</v>
      </c>
      <c r="O58" s="619"/>
      <c r="P58" s="620"/>
      <c r="T58" s="242"/>
      <c r="U58" s="242"/>
      <c r="V58" s="242"/>
      <c r="W58" s="188"/>
      <c r="X58" s="188"/>
      <c r="Y58" s="188"/>
      <c r="Z58" s="242"/>
      <c r="AA58" s="242"/>
      <c r="AB58" s="242"/>
      <c r="AC58" s="188"/>
      <c r="AD58" s="188"/>
      <c r="AE58" s="188"/>
      <c r="AF58" s="188"/>
      <c r="AG58" s="188"/>
      <c r="AH58" s="302"/>
    </row>
    <row r="59" spans="1:34" s="89" customFormat="1" ht="13" customHeight="1" thickBot="1">
      <c r="A59" s="227"/>
      <c r="B59" s="460"/>
      <c r="C59" s="359" t="s">
        <v>19</v>
      </c>
      <c r="D59" s="455">
        <f>COUNTIF($L$14:$L$43,"n.b.")</f>
        <v>0</v>
      </c>
      <c r="E59" s="456"/>
      <c r="G59" s="229" t="s">
        <v>362</v>
      </c>
      <c r="H59" s="230"/>
      <c r="I59" s="230"/>
      <c r="J59" s="230"/>
      <c r="K59" s="338"/>
      <c r="L59" s="228">
        <f ca="1">SUM(L52:L57)*12%</f>
        <v>0</v>
      </c>
      <c r="N59" s="615"/>
      <c r="O59" s="616"/>
      <c r="P59" s="617"/>
      <c r="T59" s="242"/>
      <c r="U59" s="188"/>
      <c r="V59" s="188"/>
      <c r="W59" s="188"/>
      <c r="X59" s="188"/>
      <c r="Y59" s="188"/>
      <c r="Z59" s="242"/>
      <c r="AA59" s="188"/>
      <c r="AB59" s="188"/>
      <c r="AC59" s="188"/>
      <c r="AD59" s="188"/>
      <c r="AE59" s="188"/>
      <c r="AF59" s="188"/>
      <c r="AG59" s="188"/>
      <c r="AH59" s="302"/>
    </row>
    <row r="60" spans="1:34" s="89" customFormat="1" ht="13" customHeight="1">
      <c r="A60" s="227"/>
      <c r="B60" s="355">
        <f>COUNTIF($D$14:$E$43,"DV")</f>
        <v>0</v>
      </c>
      <c r="C60" s="359" t="s">
        <v>111</v>
      </c>
      <c r="D60" s="455">
        <f>SUMIFS($P$14:$P$43,$D$14:$D$43,"DV")+SUMIFS($P$14:$P$43,$E$14:$E$43,"DV")</f>
        <v>0</v>
      </c>
      <c r="E60" s="456"/>
      <c r="G60" s="238" t="s">
        <v>298</v>
      </c>
      <c r="H60" s="239"/>
      <c r="I60" s="240"/>
      <c r="J60" s="240"/>
      <c r="K60" s="240"/>
      <c r="L60" s="241">
        <f>IF($Q$6="",0,ROUNDDOWN((($Q$6-35)/173*1.5),2))</f>
        <v>46.21</v>
      </c>
      <c r="N60" s="540" t="s">
        <v>234</v>
      </c>
      <c r="O60" s="541"/>
      <c r="P60" s="352">
        <f>Start!$C$30+SUM(Jänner:November!$D$51)</f>
        <v>0</v>
      </c>
      <c r="T60" s="244"/>
      <c r="U60" s="188"/>
      <c r="V60" s="188"/>
      <c r="W60" s="188"/>
      <c r="X60" s="188"/>
      <c r="Y60" s="188"/>
      <c r="Z60" s="244"/>
      <c r="AA60" s="188"/>
      <c r="AB60" s="188"/>
      <c r="AC60" s="188"/>
      <c r="AD60" s="188"/>
      <c r="AE60" s="188"/>
      <c r="AF60" s="188"/>
      <c r="AG60" s="188"/>
      <c r="AH60" s="302"/>
    </row>
    <row r="61" spans="1:34" s="89" customFormat="1" ht="13" customHeight="1">
      <c r="A61" s="227"/>
      <c r="B61" s="355">
        <f>COUNTIF($D$14:$E$43,"WR")</f>
        <v>0</v>
      </c>
      <c r="C61" s="359" t="s">
        <v>126</v>
      </c>
      <c r="D61" s="466"/>
      <c r="E61" s="456"/>
      <c r="G61" s="360" t="s">
        <v>400</v>
      </c>
      <c r="H61" s="358"/>
      <c r="I61" s="357"/>
      <c r="J61" s="357"/>
      <c r="K61" s="357"/>
      <c r="L61" s="356">
        <f>IF($Q$6="",0,ROUNDDOWN((($Q$6-35)/173*2),2))</f>
        <v>61.62</v>
      </c>
      <c r="N61" s="540" t="s">
        <v>235</v>
      </c>
      <c r="O61" s="541"/>
      <c r="P61" s="353">
        <f>Start!$C$31+SUM(Jänner:November!$D$52)+SUM(Jänner:November!$E$52)</f>
        <v>0</v>
      </c>
      <c r="T61" s="244"/>
      <c r="U61" s="188"/>
      <c r="V61" s="188"/>
      <c r="W61" s="188"/>
      <c r="X61" s="188"/>
      <c r="Y61" s="188"/>
      <c r="Z61" s="244"/>
      <c r="AA61" s="188"/>
      <c r="AB61" s="188"/>
      <c r="AC61" s="188"/>
      <c r="AD61" s="188"/>
      <c r="AE61" s="188"/>
      <c r="AF61" s="188"/>
      <c r="AG61" s="188"/>
      <c r="AH61" s="302"/>
    </row>
    <row r="62" spans="1:34" s="59" customFormat="1" ht="13" customHeight="1">
      <c r="A62" s="471"/>
      <c r="B62" s="478"/>
      <c r="C62" s="478"/>
      <c r="D62" s="478"/>
      <c r="E62" s="478"/>
      <c r="G62" s="374" t="s">
        <v>392</v>
      </c>
      <c r="H62" s="375"/>
      <c r="I62" s="125"/>
      <c r="J62" s="125"/>
      <c r="K62" s="389"/>
      <c r="L62" s="376">
        <f>SUM($N$14:$N$43)</f>
        <v>0</v>
      </c>
      <c r="M62" s="89"/>
      <c r="N62" s="540" t="s">
        <v>148</v>
      </c>
      <c r="O62" s="541"/>
      <c r="P62" s="352">
        <f>Start!$C$32+SUM(Jänner:November!$D$53)+SUM(Jänner:November!$E$53)</f>
        <v>0</v>
      </c>
      <c r="Q62" s="89"/>
      <c r="T62" s="244"/>
      <c r="U62" s="242"/>
      <c r="V62" s="242"/>
      <c r="W62" s="242"/>
      <c r="X62" s="242"/>
      <c r="Y62" s="242"/>
      <c r="Z62" s="244"/>
      <c r="AA62" s="242"/>
      <c r="AB62" s="242"/>
      <c r="AC62" s="242"/>
      <c r="AD62" s="242"/>
      <c r="AE62" s="242"/>
      <c r="AF62" s="242"/>
      <c r="AG62" s="242"/>
      <c r="AH62" s="302"/>
    </row>
    <row r="63" spans="1:34" s="59" customFormat="1" ht="13" customHeight="1">
      <c r="A63" s="471"/>
      <c r="G63" s="374" t="s">
        <v>102</v>
      </c>
      <c r="H63" s="375"/>
      <c r="I63" s="125"/>
      <c r="J63" s="125"/>
      <c r="K63" s="125"/>
      <c r="L63" s="376">
        <f>SUM($O$14:$O$43)</f>
        <v>0</v>
      </c>
      <c r="M63" s="89"/>
      <c r="N63" s="544" t="s">
        <v>166</v>
      </c>
      <c r="O63" s="545"/>
      <c r="P63" s="354">
        <f ca="1">Start!$C$33+SUM(Jänner:November!$D$54)+SUM(Jänner:November!$E$54)-SUM(Jänner:November!$K$56)</f>
        <v>0</v>
      </c>
      <c r="Q63" s="89"/>
      <c r="T63" s="244"/>
      <c r="U63" s="242"/>
      <c r="V63" s="242"/>
      <c r="W63" s="242"/>
      <c r="X63" s="242"/>
      <c r="Y63" s="242"/>
      <c r="Z63" s="244"/>
      <c r="AA63" s="242"/>
      <c r="AB63" s="242"/>
      <c r="AC63" s="242"/>
      <c r="AD63" s="242"/>
      <c r="AE63" s="242"/>
      <c r="AF63" s="242"/>
      <c r="AG63" s="242"/>
      <c r="AH63" s="302"/>
    </row>
    <row r="64" spans="1:34" s="59" customFormat="1" ht="13" customHeight="1">
      <c r="A64" s="471"/>
      <c r="E64" s="140"/>
      <c r="G64" s="374" t="s">
        <v>98</v>
      </c>
      <c r="H64" s="375"/>
      <c r="I64" s="125"/>
      <c r="J64" s="125"/>
      <c r="K64" s="125"/>
      <c r="L64" s="377">
        <f>$L$62*$L$60</f>
        <v>0</v>
      </c>
      <c r="M64" s="89"/>
      <c r="N64" s="546" t="str">
        <f>"Bisheriger Verbrauch"&amp;" "&amp;Start!$D$2</f>
        <v>Bisheriger Verbrauch 2024</v>
      </c>
      <c r="O64" s="547"/>
      <c r="P64" s="548"/>
      <c r="Q64" s="89"/>
      <c r="T64" s="244"/>
      <c r="U64" s="242"/>
      <c r="V64" s="242"/>
      <c r="W64" s="242"/>
      <c r="X64" s="242"/>
      <c r="Y64" s="242"/>
      <c r="Z64" s="244"/>
      <c r="AA64" s="242"/>
      <c r="AB64" s="242"/>
      <c r="AC64" s="242"/>
      <c r="AD64" s="242"/>
      <c r="AE64" s="242"/>
      <c r="AF64" s="242"/>
      <c r="AG64" s="242"/>
      <c r="AH64" s="302"/>
    </row>
    <row r="65" spans="1:34" s="59" customFormat="1" ht="13" customHeight="1">
      <c r="A65" s="471"/>
      <c r="E65" s="140"/>
      <c r="G65" s="267" t="s">
        <v>99</v>
      </c>
      <c r="H65" s="268"/>
      <c r="I65" s="378"/>
      <c r="J65" s="378"/>
      <c r="K65" s="378"/>
      <c r="L65" s="379">
        <f>$L$63*$L$61</f>
        <v>0</v>
      </c>
      <c r="M65" s="89"/>
      <c r="N65" s="549"/>
      <c r="O65" s="550"/>
      <c r="P65" s="551"/>
      <c r="Q65" s="89"/>
      <c r="T65" s="244"/>
      <c r="U65" s="242"/>
      <c r="V65" s="242"/>
      <c r="W65" s="242"/>
      <c r="X65" s="242"/>
      <c r="Y65" s="242"/>
      <c r="Z65" s="244"/>
      <c r="AA65" s="242"/>
      <c r="AB65" s="242"/>
      <c r="AC65" s="242"/>
      <c r="AD65" s="242"/>
      <c r="AE65" s="242"/>
      <c r="AF65" s="242"/>
      <c r="AG65" s="242"/>
      <c r="AH65" s="302"/>
    </row>
    <row r="66" spans="1:34" s="59" customFormat="1" ht="13" customHeight="1">
      <c r="A66" s="471"/>
      <c r="E66" s="140"/>
      <c r="G66" s="380" t="s">
        <v>228</v>
      </c>
      <c r="H66" s="381"/>
      <c r="I66" s="382"/>
      <c r="J66" s="382"/>
      <c r="K66" s="382"/>
      <c r="L66" s="376">
        <f>SUM($U$52:$V$52)+$AH$52</f>
        <v>0</v>
      </c>
      <c r="N66" s="533" t="s">
        <v>234</v>
      </c>
      <c r="O66" s="534"/>
      <c r="P66" s="398">
        <f>SUM(Jänner:November!$D$51)</f>
        <v>0</v>
      </c>
      <c r="T66" s="244"/>
      <c r="U66" s="242"/>
      <c r="V66" s="242"/>
      <c r="W66" s="242"/>
      <c r="X66" s="242"/>
      <c r="Y66" s="242"/>
      <c r="Z66" s="244"/>
      <c r="AA66" s="242"/>
      <c r="AB66" s="242"/>
      <c r="AC66" s="242"/>
      <c r="AD66" s="242"/>
      <c r="AE66" s="242"/>
      <c r="AF66" s="242"/>
      <c r="AG66" s="242"/>
      <c r="AH66" s="302"/>
    </row>
    <row r="67" spans="1:34" s="59" customFormat="1" ht="13" customHeight="1">
      <c r="A67" s="471"/>
      <c r="D67" s="140"/>
      <c r="E67" s="140"/>
      <c r="G67" s="380" t="s">
        <v>103</v>
      </c>
      <c r="H67" s="381"/>
      <c r="I67" s="382"/>
      <c r="J67" s="382"/>
      <c r="K67" s="382"/>
      <c r="L67" s="376">
        <f>SUM($U$51:$W$51)+$AH$51</f>
        <v>0</v>
      </c>
      <c r="N67" s="533" t="s">
        <v>235</v>
      </c>
      <c r="O67" s="534"/>
      <c r="P67" s="398">
        <f>SUM(Jänner:November!$D$52)</f>
        <v>0</v>
      </c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42"/>
      <c r="AG67" s="242"/>
      <c r="AH67" s="302"/>
    </row>
    <row r="68" spans="1:34" s="59" customFormat="1" ht="13" customHeight="1">
      <c r="A68" s="471"/>
      <c r="D68" s="140"/>
      <c r="E68" s="140"/>
      <c r="G68" s="121" t="s">
        <v>100</v>
      </c>
      <c r="H68" s="122"/>
      <c r="I68" s="125"/>
      <c r="J68" s="125"/>
      <c r="K68" s="125"/>
      <c r="L68" s="377">
        <f>$L$66*$L$60</f>
        <v>0</v>
      </c>
      <c r="N68" s="533" t="s">
        <v>148</v>
      </c>
      <c r="O68" s="534"/>
      <c r="P68" s="398">
        <f>SUM(Jänner:November!$D$53)</f>
        <v>0</v>
      </c>
      <c r="T68" s="242"/>
      <c r="U68" s="242"/>
      <c r="V68" s="242"/>
      <c r="W68" s="242"/>
      <c r="X68" s="242"/>
      <c r="Y68" s="242"/>
      <c r="Z68" s="242"/>
      <c r="AA68" s="242"/>
      <c r="AB68" s="242"/>
      <c r="AC68" s="242"/>
      <c r="AD68" s="242"/>
      <c r="AE68" s="242"/>
      <c r="AF68" s="242"/>
      <c r="AG68" s="242"/>
      <c r="AH68" s="302"/>
    </row>
    <row r="69" spans="1:34" s="59" customFormat="1" ht="13" customHeight="1">
      <c r="A69" s="471"/>
      <c r="D69" s="140"/>
      <c r="E69" s="140"/>
      <c r="G69" s="383" t="s">
        <v>101</v>
      </c>
      <c r="H69" s="384"/>
      <c r="I69" s="378"/>
      <c r="J69" s="378"/>
      <c r="K69" s="378"/>
      <c r="L69" s="379">
        <f>$L$67*$L$61</f>
        <v>0</v>
      </c>
      <c r="N69" s="621" t="s">
        <v>166</v>
      </c>
      <c r="O69" s="622"/>
      <c r="P69" s="399">
        <f>SUM(Jänner:November!$D$54)</f>
        <v>0</v>
      </c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302"/>
    </row>
    <row r="70" spans="1:34" s="59" customFormat="1" ht="13" customHeight="1">
      <c r="A70" s="471"/>
      <c r="D70" s="140"/>
      <c r="E70" s="140"/>
      <c r="G70" s="374" t="s">
        <v>393</v>
      </c>
      <c r="H70" s="375"/>
      <c r="I70" s="125"/>
      <c r="J70" s="125"/>
      <c r="K70" s="125"/>
      <c r="L70" s="376">
        <f>SUM($AA$52:$AB$52)</f>
        <v>0</v>
      </c>
      <c r="N70" s="604" t="s">
        <v>389</v>
      </c>
      <c r="O70" s="605"/>
      <c r="P70" s="451">
        <f>SUM(Jänner:November!$B$56)</f>
        <v>0</v>
      </c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302"/>
    </row>
    <row r="71" spans="1:34" s="59" customFormat="1" ht="13" customHeight="1">
      <c r="A71" s="471"/>
      <c r="D71" s="140"/>
      <c r="E71" s="140"/>
      <c r="G71" s="374" t="s">
        <v>356</v>
      </c>
      <c r="H71" s="375"/>
      <c r="I71" s="125"/>
      <c r="J71" s="125"/>
      <c r="K71" s="125"/>
      <c r="L71" s="376">
        <f>SUM($AA$51:$AD$51)</f>
        <v>0</v>
      </c>
      <c r="N71" s="533" t="s">
        <v>390</v>
      </c>
      <c r="O71" s="534"/>
      <c r="P71" s="398">
        <f>SUM(Jänner:November!$B$57)</f>
        <v>0</v>
      </c>
      <c r="T71" s="242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302"/>
    </row>
    <row r="72" spans="1:34" s="59" customFormat="1" ht="13" customHeight="1">
      <c r="A72" s="471"/>
      <c r="D72" s="140"/>
      <c r="E72" s="140"/>
      <c r="G72" s="374" t="s">
        <v>98</v>
      </c>
      <c r="H72" s="375"/>
      <c r="I72" s="125"/>
      <c r="J72" s="125"/>
      <c r="K72" s="125"/>
      <c r="L72" s="377">
        <f>$L$70*$L$60</f>
        <v>0</v>
      </c>
      <c r="N72" s="606" t="s">
        <v>388</v>
      </c>
      <c r="O72" s="607"/>
      <c r="P72" s="450">
        <f>SUM(Jänner:November!$B$58)</f>
        <v>0</v>
      </c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302"/>
    </row>
    <row r="73" spans="1:34" s="59" customFormat="1" ht="13" customHeight="1">
      <c r="A73" s="471"/>
      <c r="D73" s="140"/>
      <c r="E73" s="315"/>
      <c r="G73" s="267" t="s">
        <v>99</v>
      </c>
      <c r="H73" s="268"/>
      <c r="I73" s="378"/>
      <c r="J73" s="378"/>
      <c r="K73" s="378"/>
      <c r="L73" s="379">
        <f>$L$71*$L$61</f>
        <v>0</v>
      </c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302"/>
    </row>
    <row r="74" spans="1:34" s="59" customFormat="1" ht="13" customHeight="1">
      <c r="A74" s="471"/>
      <c r="D74" s="140"/>
      <c r="G74" s="385" t="s">
        <v>288</v>
      </c>
      <c r="H74" s="386"/>
      <c r="I74" s="161"/>
      <c r="J74" s="161"/>
      <c r="K74" s="161"/>
      <c r="L74" s="387">
        <f>VLOOKUP($B$8,Datenblatt!$A$100:$F$112,6,FALSE)-SUM($D$55:$D$58)</f>
        <v>160</v>
      </c>
      <c r="T74" s="242"/>
      <c r="U74" s="242"/>
      <c r="V74" s="242"/>
      <c r="W74" s="242"/>
      <c r="X74" s="242"/>
      <c r="Y74" s="242"/>
      <c r="Z74" s="242"/>
      <c r="AA74" s="242"/>
      <c r="AB74" s="242"/>
      <c r="AC74" s="242"/>
      <c r="AD74" s="242"/>
      <c r="AE74" s="242"/>
      <c r="AF74" s="242"/>
      <c r="AG74" s="242"/>
      <c r="AH74" s="302"/>
    </row>
    <row r="75" spans="1:34" s="59" customFormat="1" ht="13" customHeight="1">
      <c r="A75" s="471"/>
      <c r="D75" s="140"/>
      <c r="T75" s="242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242"/>
      <c r="AF75" s="242"/>
      <c r="AG75" s="242"/>
      <c r="AH75" s="302"/>
    </row>
    <row r="76" spans="1:34" s="59" customFormat="1" ht="13" customHeight="1">
      <c r="A76" s="471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302"/>
    </row>
    <row r="77" spans="1:34" s="59" customFormat="1" ht="13" customHeight="1">
      <c r="A77" s="471"/>
      <c r="C77" s="164" t="s">
        <v>243</v>
      </c>
      <c r="D77" s="165"/>
      <c r="E77" s="166"/>
      <c r="F77" s="166"/>
      <c r="G77" s="166"/>
      <c r="H77" s="167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302"/>
    </row>
    <row r="78" spans="1:34" s="59" customFormat="1" ht="13" customHeight="1">
      <c r="A78" s="471"/>
      <c r="C78" s="121" t="s">
        <v>92</v>
      </c>
      <c r="D78" s="122"/>
      <c r="E78" s="123"/>
      <c r="F78" s="123"/>
      <c r="G78" s="123"/>
      <c r="H78" s="124">
        <f>SUMPRODUCT((WEEKDAY($B$13:$B$42,2)=6)*($D$13:$D$42="ND"))-SUMPRODUCT((WEEKDAY($B$13:$B$42,2)=6)*($D$13:$D$42="ND")*($A$13:$A$42="Ft"))</f>
        <v>0</v>
      </c>
      <c r="R78" s="120"/>
      <c r="S78" s="120"/>
      <c r="T78" s="242"/>
      <c r="U78" s="242"/>
      <c r="V78" s="242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  <c r="AH78" s="302"/>
    </row>
    <row r="79" spans="1:34" s="59" customFormat="1" ht="13" customHeight="1">
      <c r="A79" s="471"/>
      <c r="C79" s="121" t="s">
        <v>93</v>
      </c>
      <c r="D79" s="122"/>
      <c r="E79" s="123"/>
      <c r="F79" s="123"/>
      <c r="G79" s="123"/>
      <c r="H79" s="124">
        <f>SUMPRODUCT((WEEKDAY($B$14:$B$43,2)=7)*($D$14:$D$43="ND"))-SUMPRODUCT((WEEKDAY($B$14:$B$43,2)=7)*($D$14:$D$43="ND")*($A$14:$A$43="Ft"))</f>
        <v>0</v>
      </c>
      <c r="R79" s="120"/>
      <c r="S79" s="120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  <c r="AH79" s="302"/>
    </row>
    <row r="80" spans="1:34" s="59" customFormat="1" ht="13" customHeight="1">
      <c r="A80" s="471"/>
      <c r="C80" s="121" t="s">
        <v>94</v>
      </c>
      <c r="D80" s="122"/>
      <c r="E80" s="123"/>
      <c r="F80" s="123"/>
      <c r="G80" s="123"/>
      <c r="H80" s="124">
        <f>SUMPRODUCT(($D$14:$D$43="ND")*($A$14:$A$43="Ft"))</f>
        <v>0</v>
      </c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42"/>
      <c r="AG80" s="242"/>
      <c r="AH80" s="302"/>
    </row>
    <row r="81" spans="1:34" s="59" customFormat="1" ht="13" customHeight="1">
      <c r="A81" s="471"/>
      <c r="C81" s="121" t="s">
        <v>95</v>
      </c>
      <c r="D81" s="122"/>
      <c r="E81" s="125"/>
      <c r="F81" s="125"/>
      <c r="G81" s="125"/>
      <c r="H81" s="124">
        <f>SUMPRODUCT((WEEKDAY($C$13:$C$42,2)=7)*($D$13:$D$42="ND")*($A$14:$A$43="Ft"))-SUMPRODUCT((WEEKDAY($C$13:$C$42,2)=7)*($D$13:$D$42="ND")*($A$13:$A$42="Ft")*($A$14:$A$43="Ft"))</f>
        <v>0</v>
      </c>
      <c r="T81" s="242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  <c r="AH81" s="302"/>
    </row>
    <row r="82" spans="1:34" s="59" customFormat="1" ht="13" customHeight="1">
      <c r="A82" s="471"/>
      <c r="C82" s="121" t="s">
        <v>96</v>
      </c>
      <c r="D82" s="122"/>
      <c r="E82" s="125"/>
      <c r="F82" s="125"/>
      <c r="G82" s="125"/>
      <c r="H82" s="124">
        <f>SUMPRODUCT(($A$13:$A$42="Ft")*($D$13:$D$42="ND")*($A$14:$A$43="Ft"))</f>
        <v>0</v>
      </c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42"/>
      <c r="AG82" s="242"/>
      <c r="AH82" s="302"/>
    </row>
    <row r="83" spans="1:34" s="59" customFormat="1" ht="13" customHeight="1">
      <c r="A83" s="471"/>
      <c r="C83" s="121" t="s">
        <v>97</v>
      </c>
      <c r="D83" s="122"/>
      <c r="E83" s="125"/>
      <c r="F83" s="122"/>
      <c r="G83" s="122"/>
      <c r="H83" s="124">
        <f>SUMPRODUCT(($A$13:$A$42="Ft")*(WEEKDAY($C$14:$C$43,2)=7)*($D$13:$D$42="ND"))-SUMPRODUCT(($A$13:$A$42="Ft")*($A$14:$A$43="Ft")*(WEEKDAY($C$14:$C$43,2)=7)*($D$13:$D$42="ND"))</f>
        <v>0</v>
      </c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302"/>
    </row>
    <row r="84" spans="1:34" s="59" customFormat="1" ht="13" customHeight="1">
      <c r="A84" s="471"/>
      <c r="C84" s="126" t="s">
        <v>152</v>
      </c>
      <c r="D84" s="127"/>
      <c r="E84" s="161"/>
      <c r="F84" s="127"/>
      <c r="G84" s="127"/>
      <c r="H84" s="199">
        <f>SUMPRODUCT(($A$14:$A$43="Ft")*(WEEKDAY($C$13:$C$42,2)&lt;6)*($D$13:$D$42="ND"))-(SUMPRODUCT(($A$14:$A$43="Ft")*($A$13:$A$42="Ft")*(WEEKDAY($C$13:$C$42,2)&lt;6)*($D$13:$D$42="ND")))</f>
        <v>0</v>
      </c>
      <c r="T84" s="242"/>
      <c r="U84" s="242"/>
      <c r="V84" s="242"/>
      <c r="W84" s="242"/>
      <c r="X84" s="242"/>
      <c r="Y84" s="242"/>
      <c r="Z84" s="242"/>
      <c r="AA84" s="242"/>
      <c r="AB84" s="242"/>
      <c r="AC84" s="242"/>
      <c r="AD84" s="242"/>
      <c r="AE84" s="242"/>
      <c r="AF84" s="242"/>
      <c r="AG84" s="242"/>
      <c r="AH84" s="302"/>
    </row>
    <row r="85" spans="1:34" s="59" customFormat="1" ht="13" customHeight="1">
      <c r="A85" s="471"/>
      <c r="C85" s="164" t="s">
        <v>244</v>
      </c>
      <c r="D85" s="165"/>
      <c r="E85" s="166"/>
      <c r="F85" s="166"/>
      <c r="G85" s="166"/>
      <c r="H85" s="167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242"/>
      <c r="AF85" s="242"/>
      <c r="AG85" s="242"/>
      <c r="AH85" s="302"/>
    </row>
    <row r="86" spans="1:34" s="59" customFormat="1" ht="13" customHeight="1">
      <c r="A86" s="471"/>
      <c r="C86" s="267" t="s">
        <v>401</v>
      </c>
      <c r="D86" s="268"/>
      <c r="E86" s="268"/>
      <c r="F86" s="268"/>
      <c r="G86" s="268"/>
      <c r="H86" s="163"/>
      <c r="T86" s="242"/>
      <c r="U86" s="242"/>
      <c r="V86" s="242"/>
      <c r="W86" s="242"/>
      <c r="X86" s="242"/>
      <c r="Y86" s="242"/>
      <c r="Z86" s="242"/>
      <c r="AA86" s="242"/>
      <c r="AB86" s="242"/>
      <c r="AC86" s="242"/>
      <c r="AD86" s="242"/>
      <c r="AE86" s="242"/>
      <c r="AF86" s="242"/>
      <c r="AG86" s="242"/>
      <c r="AH86" s="302"/>
    </row>
    <row r="87" spans="1:34" s="59" customFormat="1" ht="13" customHeight="1">
      <c r="A87" s="471"/>
      <c r="C87" s="121" t="s">
        <v>16</v>
      </c>
      <c r="D87" s="122"/>
      <c r="E87" s="122"/>
      <c r="F87" s="122"/>
      <c r="G87" s="122"/>
      <c r="H87" s="124">
        <f>SUMPRODUCT((WEEKDAY($B$14:$B$43,2)=7)*($D$14:$D$43="TD"))+SUMPRODUCT(($D$14:$D$43="TD")*($A$14:$A$43="Ft"))-SUMPRODUCT((WEEKDAY($B$14:$B$43,2)=7)*($D$14:$D$43="TD")*($A$14:$A$43="Ft"))</f>
        <v>0</v>
      </c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  <c r="AH87" s="302"/>
    </row>
    <row r="88" spans="1:34" s="59" customFormat="1" ht="13" customHeight="1">
      <c r="A88" s="471"/>
      <c r="C88" s="121" t="s">
        <v>225</v>
      </c>
      <c r="D88" s="122"/>
      <c r="E88" s="122"/>
      <c r="F88" s="122"/>
      <c r="G88" s="122"/>
      <c r="H88" s="124">
        <f>SUMPRODUCT((WEEKDAY($B$14:$B$43,2)=7)*($D$14:$D$43="TD5,5"))+SUMPRODUCT(($D$14:$D$43="TD5,5")*($A$14:$A$43="Ft"))-SUMPRODUCT((WEEKDAY($B$14:$B$43,2)=7)*($D$14:$D$43="TD5,5")*($A$14:$A$43="Ft"))</f>
        <v>0</v>
      </c>
      <c r="T88" s="242"/>
      <c r="U88" s="242"/>
      <c r="V88" s="242"/>
      <c r="W88" s="242"/>
      <c r="X88" s="242"/>
      <c r="Y88" s="242"/>
      <c r="Z88" s="242"/>
      <c r="AA88" s="242"/>
      <c r="AB88" s="242"/>
      <c r="AC88" s="242"/>
      <c r="AD88" s="242"/>
      <c r="AE88" s="242"/>
      <c r="AF88" s="242"/>
      <c r="AG88" s="242"/>
      <c r="AH88" s="302"/>
    </row>
    <row r="89" spans="1:34" s="59" customFormat="1" ht="13" customHeight="1">
      <c r="A89" s="471"/>
      <c r="C89" s="121" t="s">
        <v>88</v>
      </c>
      <c r="D89" s="122"/>
      <c r="E89" s="122"/>
      <c r="F89" s="122"/>
      <c r="G89" s="122"/>
      <c r="H89" s="124">
        <f>SUMPRODUCT((WEEKDAY($B$14:$B$43,2)=7)*($D$14:$D$43="TD6"))+SUMPRODUCT(($D$14:$D$43="TD6")*($A$14:$A$43="Ft"))-SUMPRODUCT((WEEKDAY($B$14:$B$43,2)=7)*($D$14:$D$43="TD6")*($A$14:$A$43="Ft"))</f>
        <v>0</v>
      </c>
      <c r="T89" s="242"/>
      <c r="U89" s="242"/>
      <c r="V89" s="242"/>
      <c r="W89" s="242"/>
      <c r="X89" s="242"/>
      <c r="Y89" s="242"/>
      <c r="Z89" s="242"/>
      <c r="AA89" s="242"/>
      <c r="AB89" s="242"/>
      <c r="AC89" s="242"/>
      <c r="AD89" s="242"/>
      <c r="AE89" s="242"/>
      <c r="AF89" s="242"/>
      <c r="AG89" s="242"/>
      <c r="AH89" s="302"/>
    </row>
    <row r="90" spans="1:34" s="59" customFormat="1" ht="13" customHeight="1">
      <c r="A90" s="471"/>
      <c r="C90" s="121" t="s">
        <v>184</v>
      </c>
      <c r="D90" s="122"/>
      <c r="E90" s="122"/>
      <c r="F90" s="122"/>
      <c r="G90" s="122"/>
      <c r="H90" s="124">
        <f>SUMPRODUCT((WEEKDAY($B$14:$B$43,2)=7)*($D$14:$D$43="TD6,25"))+SUMPRODUCT(($D$14:$D$43="TD6,25")*($A$14:$A$43="Ft"))-SUMPRODUCT((WEEKDAY($B$14:$B$43,2)=7)*($D$14:$D$43="TD6,25")*($A$14:$A$43="Ft"))</f>
        <v>0</v>
      </c>
      <c r="T90" s="242"/>
      <c r="U90" s="242"/>
      <c r="V90" s="242"/>
      <c r="W90" s="242"/>
      <c r="X90" s="242"/>
      <c r="Y90" s="242"/>
      <c r="Z90" s="242"/>
      <c r="AA90" s="242"/>
      <c r="AB90" s="242"/>
      <c r="AC90" s="242"/>
      <c r="AD90" s="242"/>
      <c r="AE90" s="242"/>
      <c r="AF90" s="242"/>
      <c r="AG90" s="242"/>
      <c r="AH90" s="302"/>
    </row>
    <row r="91" spans="1:34" s="59" customFormat="1" ht="13" customHeight="1">
      <c r="A91" s="471"/>
      <c r="C91" s="121" t="s">
        <v>209</v>
      </c>
      <c r="D91" s="122"/>
      <c r="E91" s="122"/>
      <c r="F91" s="122"/>
      <c r="G91" s="122"/>
      <c r="H91" s="124">
        <f>SUMPRODUCT((WEEKDAY($B$14:$B$43,2)=7)*($D$14:$D$43="TD6,5"))+SUMPRODUCT(($D$14:$D$43="TD6,5")*($A$14:$A$43="Ft"))-SUMPRODUCT((WEEKDAY($B$14:$B$43,2)=7)*($D$14:$D$43="TD6,5")*($A$14:$A$43="Ft"))</f>
        <v>0</v>
      </c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302"/>
    </row>
    <row r="92" spans="1:34" s="59" customFormat="1" ht="13" customHeight="1">
      <c r="A92" s="471"/>
      <c r="C92" s="121" t="s">
        <v>86</v>
      </c>
      <c r="D92" s="122"/>
      <c r="E92" s="122"/>
      <c r="F92" s="122"/>
      <c r="G92" s="122"/>
      <c r="H92" s="124">
        <f>SUMPRODUCT((WEEKDAY($B$14:$B$43,2)=7)*($D$14:$D$43="TD7"))+SUMPRODUCT(($D$14:$D$43="TD7")*($A$14:$A$43="Ft"))-SUMPRODUCT((WEEKDAY($B$14:$B$43,2)=7)*($D$14:$D$43="TD7")*($A$14:$A$43="Ft"))</f>
        <v>0</v>
      </c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302"/>
    </row>
    <row r="93" spans="1:34" s="59" customFormat="1" ht="13" customHeight="1">
      <c r="A93" s="471"/>
      <c r="C93" s="121" t="s">
        <v>213</v>
      </c>
      <c r="D93" s="122"/>
      <c r="E93" s="122"/>
      <c r="F93" s="122"/>
      <c r="G93" s="122"/>
      <c r="H93" s="124">
        <f>SUMPRODUCT((WEEKDAY($B$14:$B$43,2)=7)*($D$14:$D$43="TD7,5"))+SUMPRODUCT(($D$14:$D$43="TD7,5")*($A$14:$A$43="Ft"))-SUMPRODUCT((WEEKDAY($B$14:$B$43,2)=7)*($D$14:$D$43="TD7,5")*($A$14:$A$43="Ft"))</f>
        <v>0</v>
      </c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302"/>
    </row>
    <row r="94" spans="1:34" s="59" customFormat="1" ht="13" customHeight="1">
      <c r="A94" s="471"/>
      <c r="C94" s="121" t="s">
        <v>71</v>
      </c>
      <c r="D94" s="122"/>
      <c r="E94" s="122"/>
      <c r="F94" s="122"/>
      <c r="G94" s="122"/>
      <c r="H94" s="124">
        <f>SUMPRODUCT((WEEKDAY($B$14:$B$43,2)=7)*($D$14:$D$43="TD8"))+SUMPRODUCT(($D$14:$D$43="TD8")*($A$14:$A$43="Ft"))-SUMPRODUCT((WEEKDAY($B$14:$B$43,2)=7)*($D$14:$D$43="TD8")*($A$14:$A$43="Ft"))</f>
        <v>0</v>
      </c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42"/>
      <c r="AG94" s="242"/>
      <c r="AH94" s="302"/>
    </row>
    <row r="95" spans="1:34" s="59" customFormat="1" ht="13" customHeight="1">
      <c r="A95" s="471"/>
      <c r="C95" s="121" t="s">
        <v>214</v>
      </c>
      <c r="D95" s="122"/>
      <c r="E95" s="122"/>
      <c r="F95" s="122"/>
      <c r="G95" s="122"/>
      <c r="H95" s="124">
        <f>SUMPRODUCT((WEEKDAY($B$14:$B$43,2)=7)*($D$14:$D$43="TD8,5"))+SUMPRODUCT(($D$14:$D$43="TD8,5")*($A$14:$A$43="Ft"))-SUMPRODUCT((WEEKDAY($B$14:$B$43,2)=7)*($D$14:$D$43="TD8,5")*($A$14:$A$43="Ft"))</f>
        <v>0</v>
      </c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302"/>
    </row>
    <row r="96" spans="1:34" ht="13" customHeight="1">
      <c r="C96" s="121" t="s">
        <v>84</v>
      </c>
      <c r="D96" s="122"/>
      <c r="E96" s="122"/>
      <c r="F96" s="122"/>
      <c r="G96" s="122"/>
      <c r="H96" s="124">
        <f>SUMPRODUCT((WEEKDAY($B$14:$B$43,2)=7)*($D$14:$D$43="TD9"))+SUMPRODUCT(($D$14:$D$43="TD9")*($A$14:$A$43="Ft"))-SUMPRODUCT((WEEKDAY($B$14:$B$43,2)=7)*($D$14:$D$43="TD9")*($A$14:$A$43="Ft"))</f>
        <v>0</v>
      </c>
    </row>
    <row r="97" spans="3:8" ht="13" customHeight="1">
      <c r="C97" s="121" t="s">
        <v>215</v>
      </c>
      <c r="D97" s="122"/>
      <c r="E97" s="122"/>
      <c r="F97" s="122"/>
      <c r="G97" s="122"/>
      <c r="H97" s="124">
        <f>SUMPRODUCT((WEEKDAY($B$14:$B$43,2)=7)*($D$14:$D$43="TD9,5"))+SUMPRODUCT(($D$14:$D$43="TD9,5")*($A$14:$A$43="Ft"))-SUMPRODUCT((WEEKDAY($B$14:$B$43,2)=7)*($D$14:$D$43="TD9,5")*($A$14:$A$43="Ft"))</f>
        <v>0</v>
      </c>
    </row>
    <row r="98" spans="3:8" ht="13" customHeight="1">
      <c r="C98" s="121" t="s">
        <v>413</v>
      </c>
      <c r="D98" s="122"/>
      <c r="E98" s="122"/>
      <c r="F98" s="122"/>
      <c r="G98" s="122"/>
      <c r="H98" s="124">
        <f>SUMPRODUCT((WEEKDAY($B$14:$B$43,2)=7)*($D$14:$D$43="TD10"))+SUMPRODUCT(($D$14:$D$43="TD10")*($A$14:$A$43="Ft"))-SUMPRODUCT((WEEKDAY($B$14:$B$43,2)=7)*($D$14:$D$43="TD10")*($A$14:$A$43="Ft"))</f>
        <v>0</v>
      </c>
    </row>
    <row r="99" spans="3:8" ht="13" customHeight="1">
      <c r="C99" s="121" t="s">
        <v>216</v>
      </c>
      <c r="D99" s="122"/>
      <c r="E99" s="122"/>
      <c r="F99" s="122"/>
      <c r="G99" s="122"/>
      <c r="H99" s="124">
        <f>SUMPRODUCT((WEEKDAY($B$14:$B$43,2)=7)*($D$14:$D$43="TD10,5"))+SUMPRODUCT(($D$14:$D$43="TD10,5")*($A$14:$A$43="Ft"))-SUMPRODUCT((WEEKDAY($B$14:$B$43,2)=7)*($D$14:$D$43="TD10,5")*($A$14:$A$43="Ft"))</f>
        <v>0</v>
      </c>
    </row>
    <row r="100" spans="3:8" ht="13" customHeight="1">
      <c r="C100" s="121" t="s">
        <v>217</v>
      </c>
      <c r="D100" s="122"/>
      <c r="E100" s="122"/>
      <c r="F100" s="122"/>
      <c r="G100" s="122"/>
      <c r="H100" s="124">
        <f>SUMPRODUCT((WEEKDAY($B$14:$B$43,2)=7)*($D$14:$D$43="TD11"))+SUMPRODUCT(($D$14:$D$43="TD11")*($A$14:$A$43="Ft"))-SUMPRODUCT((WEEKDAY($B$14:$B$43,2)=7)*($D$14:$D$43="TD11")*($A$14:$A$43="Ft"))</f>
        <v>0</v>
      </c>
    </row>
    <row r="101" spans="3:8" ht="13" customHeight="1">
      <c r="C101" s="121" t="s">
        <v>210</v>
      </c>
      <c r="D101" s="122"/>
      <c r="E101" s="122"/>
      <c r="F101" s="122"/>
      <c r="G101" s="122"/>
      <c r="H101" s="124">
        <f>SUMPRODUCT((WEEKDAY($B$14:$B$43,2)=7)*($D$14:$D$43="TD11,5"))+SUMPRODUCT(($D$14:$D$43="TD11,5")*($A$14:$A$43="Ft"))-SUMPRODUCT((WEEKDAY($B$14:$B$43,2)=7)*($D$14:$D$43="TD11,5")*($A$14:$A$43="Ft"))</f>
        <v>0</v>
      </c>
    </row>
    <row r="102" spans="3:8" ht="13" customHeight="1">
      <c r="C102" s="121" t="s">
        <v>218</v>
      </c>
      <c r="D102" s="122"/>
      <c r="E102" s="122"/>
      <c r="F102" s="122"/>
      <c r="G102" s="122"/>
      <c r="H102" s="124">
        <f>SUMPRODUCT((WEEKDAY($B$14:$B$43,2)=7)*($D$14:$D$43="TD12"))+SUMPRODUCT(($D$14:$D$43="TD12")*($A$14:$A$43="Ft"))-SUMPRODUCT((WEEKDAY($B$14:$B$43,2)=7)*($D$14:$D$43="TD12")*($A$14:$A$43="Ft"))</f>
        <v>0</v>
      </c>
    </row>
    <row r="103" spans="3:8" ht="13" customHeight="1">
      <c r="C103" s="121" t="s">
        <v>119</v>
      </c>
      <c r="D103" s="122"/>
      <c r="E103" s="122"/>
      <c r="F103" s="122"/>
      <c r="G103" s="122"/>
      <c r="H103" s="124">
        <f>SUMPRODUCT((WEEKDAY($B$14:$B$43,2)=7)*($D$14:$D$43="TD12,5"))+SUMPRODUCT(($D$14:$D$43="TD12,5")*($A$14:$A$43="Ft"))-SUMPRODUCT((WEEKDAY($B$14:$B$43,2)=7)*($D$14:$D$43="TD12,5")*($A$14:$A$43="Ft"))</f>
        <v>0</v>
      </c>
    </row>
    <row r="104" spans="3:8" ht="13" customHeight="1">
      <c r="C104" s="262" t="s">
        <v>149</v>
      </c>
      <c r="D104" s="263"/>
      <c r="E104" s="263"/>
      <c r="F104" s="263"/>
      <c r="G104" s="263"/>
      <c r="H104" s="162"/>
    </row>
    <row r="105" spans="3:8" ht="13" customHeight="1">
      <c r="C105" s="121" t="s">
        <v>153</v>
      </c>
      <c r="D105" s="122"/>
      <c r="E105" s="122"/>
      <c r="F105" s="122"/>
      <c r="G105" s="122"/>
      <c r="H105" s="124">
        <f>SUMPRODUCT((WEEKDAY($B$13:$B$42,2)=6)*($D$13:$D$42="ND12,5"))-SUMPRODUCT((WEEKDAY($B$13:$B$42,2)=6)*($D$13:$D$42="ND12,5")*($A$13:$A$42="Ft"))</f>
        <v>0</v>
      </c>
    </row>
    <row r="106" spans="3:8">
      <c r="C106" s="121" t="s">
        <v>150</v>
      </c>
      <c r="D106" s="125"/>
      <c r="E106" s="125"/>
      <c r="F106" s="125"/>
      <c r="G106" s="125"/>
      <c r="H106" s="124">
        <f>SUMPRODUCT((WEEKDAY($B$14:$B$43,2)=7)*($D$14:$D$43="ND12,5"))-SUMPRODUCT((WEEKDAY($B$14:$B$43,2)=7)*($D$14:$D$43="ND12,5")*($A$14:$A$43="Ft"))</f>
        <v>0</v>
      </c>
    </row>
    <row r="107" spans="3:8">
      <c r="C107" s="121" t="s">
        <v>151</v>
      </c>
      <c r="D107" s="125"/>
      <c r="E107" s="125"/>
      <c r="F107" s="125"/>
      <c r="G107" s="125"/>
      <c r="H107" s="124">
        <f>SUMPRODUCT(($D$14:$D$43="ND12,5")*($A$14:$A$43="Ft"))</f>
        <v>0</v>
      </c>
    </row>
    <row r="108" spans="3:8">
      <c r="C108" s="121" t="s">
        <v>155</v>
      </c>
      <c r="D108" s="125"/>
      <c r="E108" s="125"/>
      <c r="F108" s="125"/>
      <c r="G108" s="125"/>
      <c r="H108" s="124">
        <f>SUMPRODUCT((WEEKDAY($C$13:$C$42,2)=7)*($D$13:$D$42="ND12,5")*($A$14:$A$43="Ft"))-SUMPRODUCT((WEEKDAY($C$13:$C$42,2)=7)*($D$13:$D$42="ND12,5")*($A$13:$A$42="Ft")*($A$14:$A$43="Ft"))</f>
        <v>0</v>
      </c>
    </row>
    <row r="109" spans="3:8">
      <c r="C109" s="121" t="s">
        <v>156</v>
      </c>
      <c r="D109" s="125"/>
      <c r="E109" s="125"/>
      <c r="F109" s="125"/>
      <c r="G109" s="125"/>
      <c r="H109" s="124">
        <f>SUMPRODUCT(($A$13:$A$42="Ft")*($D$13:$D$42="ND12,5")*($A$14:$A$43="Ft"))</f>
        <v>0</v>
      </c>
    </row>
    <row r="110" spans="3:8">
      <c r="C110" s="121" t="s">
        <v>157</v>
      </c>
      <c r="D110" s="125"/>
      <c r="E110" s="125"/>
      <c r="F110" s="125"/>
      <c r="G110" s="125"/>
      <c r="H110" s="124">
        <f>SUMPRODUCT(($A$13:$A$42="Ft")*(WEEKDAY($C$14:$C$43,2)=7)*($D$13:$D$42="ND12,5"))-SUMPRODUCT(($A$13:$A$42="Ft")*($A$14:$A$43="Ft")*(WEEKDAY($C$14:$C$43,2)=7)*($D$13:$D$42="ND12,5"))</f>
        <v>0</v>
      </c>
    </row>
    <row r="111" spans="3:8">
      <c r="C111" s="126" t="s">
        <v>154</v>
      </c>
      <c r="D111" s="161"/>
      <c r="E111" s="161"/>
      <c r="F111" s="161"/>
      <c r="G111" s="161"/>
      <c r="H111" s="199">
        <f>SUMPRODUCT(($A$14:$A$43="Ft")*(WEEKDAY($C$13:$C$42,2)&lt;6)*($D$13:$D$42="ND12,5"))-(SUMPRODUCT(($A$14:$A$43="Ft")*($A$13:$A$42="Ft")*(WEEKDAY($C$13:$C$42,2)&lt;6)*($D$13:$D$42="ND12,5")))</f>
        <v>0</v>
      </c>
    </row>
  </sheetData>
  <sheetProtection algorithmName="SHA-512" hashValue="XDgfPt7n4l0eA9JYKz/qww5rSwodT59LaIArsVvg0KbgB54ydvt0nt5CgZmv0sKmkXFfFsMg8BealkuVtGVosw==" saltValue="tzPBIZW0P/y9s54aDc2Itg==" spinCount="100000" sheet="1" selectLockedCells="1"/>
  <mergeCells count="63">
    <mergeCell ref="N70:O70"/>
    <mergeCell ref="N71:O71"/>
    <mergeCell ref="N72:O72"/>
    <mergeCell ref="N60:O60"/>
    <mergeCell ref="N58:P59"/>
    <mergeCell ref="N61:O61"/>
    <mergeCell ref="N62:O62"/>
    <mergeCell ref="N69:O69"/>
    <mergeCell ref="N67:O67"/>
    <mergeCell ref="N68:O68"/>
    <mergeCell ref="J9:J11"/>
    <mergeCell ref="B9:C11"/>
    <mergeCell ref="D9:D11"/>
    <mergeCell ref="C50:D50"/>
    <mergeCell ref="G54:I54"/>
    <mergeCell ref="E9:E11"/>
    <mergeCell ref="F9:G10"/>
    <mergeCell ref="H9:I10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P9:P11"/>
    <mergeCell ref="N6:P6"/>
    <mergeCell ref="N5:P5"/>
    <mergeCell ref="AG10:AG11"/>
    <mergeCell ref="S9:S11"/>
    <mergeCell ref="Q9:Q11"/>
    <mergeCell ref="R9:R11"/>
    <mergeCell ref="AF10:AF11"/>
    <mergeCell ref="U10:Y10"/>
    <mergeCell ref="AA10:AE10"/>
    <mergeCell ref="L47:O47"/>
    <mergeCell ref="N55:O55"/>
    <mergeCell ref="N56:O56"/>
    <mergeCell ref="K5:M5"/>
    <mergeCell ref="L9:L11"/>
    <mergeCell ref="M9:M11"/>
    <mergeCell ref="K6:M6"/>
    <mergeCell ref="L46:O46"/>
    <mergeCell ref="N9:N11"/>
    <mergeCell ref="O9:O11"/>
    <mergeCell ref="N13:O13"/>
    <mergeCell ref="K8:M8"/>
    <mergeCell ref="N8:P8"/>
    <mergeCell ref="K7:M7"/>
    <mergeCell ref="N7:P7"/>
    <mergeCell ref="K9:K11"/>
    <mergeCell ref="N57:O57"/>
    <mergeCell ref="N50:P51"/>
    <mergeCell ref="N52:O52"/>
    <mergeCell ref="N64:P65"/>
    <mergeCell ref="N66:O66"/>
    <mergeCell ref="N63:O63"/>
    <mergeCell ref="N53:O53"/>
    <mergeCell ref="N54:O54"/>
  </mergeCells>
  <conditionalFormatting sqref="A13:A43">
    <cfRule type="cellIs" dxfId="111" priority="10" operator="equal">
      <formula>"HFT"</formula>
    </cfRule>
    <cfRule type="cellIs" dxfId="110" priority="11" operator="equal">
      <formula>"FT"</formula>
    </cfRule>
  </conditionalFormatting>
  <conditionalFormatting sqref="A44">
    <cfRule type="cellIs" dxfId="109" priority="324" operator="equal">
      <formula>"Ft"</formula>
    </cfRule>
  </conditionalFormatting>
  <conditionalFormatting sqref="B13:C43">
    <cfRule type="expression" dxfId="108" priority="325">
      <formula>WEEKDAY($C13,2)&gt;5</formula>
    </cfRule>
  </conditionalFormatting>
  <conditionalFormatting sqref="E8">
    <cfRule type="cellIs" dxfId="106" priority="53" operator="greaterThan">
      <formula>48</formula>
    </cfRule>
  </conditionalFormatting>
  <conditionalFormatting sqref="I46:K46">
    <cfRule type="cellIs" dxfId="105" priority="136" operator="equal">
      <formula>"Wochenarbeitszeit überschritten"</formula>
    </cfRule>
  </conditionalFormatting>
  <conditionalFormatting sqref="J44:P44">
    <cfRule type="cellIs" dxfId="104" priority="179" operator="equal">
      <formula>0</formula>
    </cfRule>
  </conditionalFormatting>
  <conditionalFormatting sqref="K8">
    <cfRule type="cellIs" dxfId="103" priority="233" operator="greaterThan">
      <formula>$N$8</formula>
    </cfRule>
    <cfRule type="cellIs" dxfId="102" priority="232" operator="equal">
      <formula>$N$8</formula>
    </cfRule>
    <cfRule type="cellIs" dxfId="101" priority="234" operator="lessThan">
      <formula>$N$8</formula>
    </cfRule>
  </conditionalFormatting>
  <conditionalFormatting sqref="K14:K43">
    <cfRule type="cellIs" dxfId="100" priority="42" operator="greaterThan">
      <formula>0</formula>
    </cfRule>
    <cfRule type="cellIs" dxfId="99" priority="41" operator="lessThanOrEqual">
      <formula>0</formula>
    </cfRule>
  </conditionalFormatting>
  <conditionalFormatting sqref="K44">
    <cfRule type="cellIs" dxfId="98" priority="237" operator="lessThan">
      <formula>0</formula>
    </cfRule>
  </conditionalFormatting>
  <conditionalFormatting sqref="N14:O43">
    <cfRule type="cellIs" dxfId="97" priority="13" operator="equal">
      <formula>0</formula>
    </cfRule>
  </conditionalFormatting>
  <conditionalFormatting sqref="P13:P43">
    <cfRule type="cellIs" dxfId="96" priority="2" operator="equal">
      <formula>0</formula>
    </cfRule>
  </conditionalFormatting>
  <conditionalFormatting sqref="P60:P63">
    <cfRule type="cellIs" dxfId="95" priority="72" operator="lessThan">
      <formula>0</formula>
    </cfRule>
  </conditionalFormatting>
  <conditionalFormatting sqref="Q46">
    <cfRule type="cellIs" dxfId="94" priority="57" operator="equal">
      <formula>0</formula>
    </cfRule>
  </conditionalFormatting>
  <conditionalFormatting sqref="T14:T43">
    <cfRule type="cellIs" dxfId="93" priority="39" operator="equal">
      <formula>0</formula>
    </cfRule>
  </conditionalFormatting>
  <conditionalFormatting sqref="T51:W51">
    <cfRule type="cellIs" dxfId="92" priority="29" operator="equal">
      <formula>0</formula>
    </cfRule>
  </conditionalFormatting>
  <conditionalFormatting sqref="T44:AD44">
    <cfRule type="cellIs" dxfId="91" priority="123" operator="equal">
      <formula>0</formula>
    </cfRule>
  </conditionalFormatting>
  <conditionalFormatting sqref="U15:W43">
    <cfRule type="cellIs" dxfId="90" priority="36" operator="equal">
      <formula>0</formula>
    </cfRule>
  </conditionalFormatting>
  <conditionalFormatting sqref="U51:Y53">
    <cfRule type="cellIs" dxfId="89" priority="19" operator="equal">
      <formula>0</formula>
    </cfRule>
  </conditionalFormatting>
  <conditionalFormatting sqref="V14">
    <cfRule type="cellIs" dxfId="88" priority="38" operator="equal">
      <formula>0</formula>
    </cfRule>
  </conditionalFormatting>
  <conditionalFormatting sqref="V13:Y13">
    <cfRule type="cellIs" dxfId="87" priority="74" operator="equal">
      <formula>0</formula>
    </cfRule>
  </conditionalFormatting>
  <conditionalFormatting sqref="W52">
    <cfRule type="cellIs" dxfId="86" priority="23" operator="equal">
      <formula>0</formula>
    </cfRule>
  </conditionalFormatting>
  <conditionalFormatting sqref="X14:Y43">
    <cfRule type="cellIs" dxfId="85" priority="35" operator="equal">
      <formula>0</formula>
    </cfRule>
  </conditionalFormatting>
  <conditionalFormatting sqref="Z13:Z43">
    <cfRule type="cellIs" dxfId="84" priority="190" operator="equal">
      <formula>0</formula>
    </cfRule>
  </conditionalFormatting>
  <conditionalFormatting sqref="Z51:AC51">
    <cfRule type="cellIs" dxfId="83" priority="27" operator="equal">
      <formula>0</formula>
    </cfRule>
  </conditionalFormatting>
  <conditionalFormatting sqref="AA14:AB43">
    <cfRule type="cellIs" dxfId="82" priority="43" operator="equal">
      <formula>0</formula>
    </cfRule>
  </conditionalFormatting>
  <conditionalFormatting sqref="AA51:AE52">
    <cfRule type="cellIs" dxfId="81" priority="4" operator="equal">
      <formula>0</formula>
    </cfRule>
  </conditionalFormatting>
  <conditionalFormatting sqref="AC13:AD43">
    <cfRule type="cellIs" dxfId="80" priority="143" operator="equal">
      <formula>0</formula>
    </cfRule>
  </conditionalFormatting>
  <conditionalFormatting sqref="AE13:AE44">
    <cfRule type="cellIs" dxfId="79" priority="1" operator="equal">
      <formula>0</formula>
    </cfRule>
  </conditionalFormatting>
  <conditionalFormatting sqref="AF13:AG43">
    <cfRule type="cellIs" dxfId="78" priority="87" operator="equal">
      <formula>0</formula>
    </cfRule>
  </conditionalFormatting>
  <conditionalFormatting sqref="AF44:AH44">
    <cfRule type="cellIs" dxfId="77" priority="64" operator="equal">
      <formula>0</formula>
    </cfRule>
  </conditionalFormatting>
  <conditionalFormatting sqref="AG51:AH51">
    <cfRule type="cellIs" dxfId="76" priority="18" operator="equal">
      <formula>0</formula>
    </cfRule>
  </conditionalFormatting>
  <conditionalFormatting sqref="AH14:AH43">
    <cfRule type="cellIs" dxfId="75" priority="32" operator="equal">
      <formula>0</formula>
    </cfRule>
  </conditionalFormatting>
  <conditionalFormatting sqref="AH51:AH52">
    <cfRule type="cellIs" dxfId="74" priority="16" operator="equal">
      <formula>0</formula>
    </cfRule>
  </conditionalFormatting>
  <dataValidations count="4">
    <dataValidation type="list" allowBlank="1" showInputMessage="1" showErrorMessage="1" sqref="J14:J43" xr:uid="{541CCDC0-A2A4-4E38-9183-612E1A07AF38}">
      <formula1>AbwesenheitenStunden</formula1>
    </dataValidation>
    <dataValidation type="list" allowBlank="1" showInputMessage="1" showErrorMessage="1" error="Die Eingabe ist unzulässig_x000a_Bitte Drop Down Felder verwenden" sqref="F14:G43" xr:uid="{B36627F5-F9B8-412B-9FB9-4B8CC0D7A23B}">
      <formula1>Zeiten1</formula1>
    </dataValidation>
    <dataValidation type="decimal" allowBlank="1" showInputMessage="1" showErrorMessage="1" error="Die ausgewählte Stundenanzahl steht nicht zur Verfügung!" sqref="J54" xr:uid="{EC4915C2-2092-4F2F-A6A4-C3D12BE762DC}">
      <formula1>0</formula1>
      <formula2>K54</formula2>
    </dataValidation>
    <dataValidation type="list" allowBlank="1" showInputMessage="1" showErrorMessage="1" sqref="H14:I43" xr:uid="{346B93DD-BF02-4069-91A9-B093AE4126E8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27" id="{9679E64A-ECA0-408C-AEBB-B5D8B6404F13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D00-000007000000}">
          <x14:formula1>
            <xm:f>Datenblatt!$A$31:$A$51</xm:f>
          </x14:formula1>
          <xm:sqref>A45 AF46:AH46 AI45:XFD45 L45:AE45</xm:sqref>
        </x14:dataValidation>
        <x14:dataValidation type="list" allowBlank="1" showInputMessage="1" showErrorMessage="1" xr:uid="{5C45CB4B-2E6D-496C-B61F-02CF30AEC988}">
          <x14:formula1>
            <xm:f>IF((WEEKDAY(C14,2)&gt;=6),SF,IF((COUNTIF(Datenblatt!$B$84:$B$97,C14)=1),SF,IF(OR(D14="U",D14="ZA",D14="NDG",D14="SU",D14="PK",D14="RG",D14="Z0",D14="K",D14="WR"),SF,SpA)))</xm:f>
          </x14:formula1>
          <xm:sqref>E14:E43</xm:sqref>
        </x14:dataValidation>
        <x14:dataValidation type="list" allowBlank="1" showInputMessage="1" showErrorMessage="1" xr:uid="{00B86E5F-4B7A-40BD-9B1A-3E80D59B3F27}">
          <x14:formula1>
            <xm:f>IF((WEEKDAY(C14,2)&gt;=6),SF,IF((COUNTIF(Datenblatt!$B$84:$C$97,C14)=1),SF,Tagespräsenz))</xm:f>
          </x14:formula1>
          <xm:sqref>D14:D43</xm:sqref>
        </x14:dataValidation>
        <x14:dataValidation type="list" allowBlank="1" showInputMessage="1" showErrorMessage="1" xr:uid="{AEB84D9B-8989-45DF-9185-DB67DD7CDDF2}">
          <x14:formula1>
            <xm:f>Datenblatt!$D$58:$D$59</xm:f>
          </x14:formula1>
          <xm:sqref>P46 J58</xm:sqref>
        </x14:dataValidation>
        <x14:dataValidation type="list" allowBlank="1" showInputMessage="1" showErrorMessage="1" xr:uid="{B8C797F6-4668-4BEA-BD01-8A47FD702399}">
          <x14:formula1>
            <xm:f>Datenblatt!$D$52:$D$53</xm:f>
          </x14:formula1>
          <xm:sqref>P47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71" customWidth="1"/>
    <col min="2" max="2" width="3.1640625" style="56" customWidth="1"/>
    <col min="3" max="3" width="8.83203125" style="56" customWidth="1"/>
    <col min="4" max="5" width="9.83203125" style="56" customWidth="1"/>
    <col min="6" max="10" width="9.1640625" style="56" customWidth="1"/>
    <col min="11" max="16" width="8.83203125" style="56" customWidth="1"/>
    <col min="17" max="17" width="23.5" style="66" customWidth="1"/>
    <col min="18" max="18" width="36.5" style="66" customWidth="1"/>
    <col min="19" max="19" width="43.5" style="56" customWidth="1"/>
    <col min="20" max="33" width="7.1640625" style="234" customWidth="1"/>
    <col min="34" max="34" width="7.1640625" style="301" customWidth="1"/>
    <col min="35" max="264" width="11.5" style="56"/>
    <col min="265" max="265" width="0.5" style="56" customWidth="1"/>
    <col min="266" max="266" width="3.1640625" style="56" customWidth="1"/>
    <col min="267" max="267" width="8.83203125" style="56" customWidth="1"/>
    <col min="268" max="268" width="14.83203125" style="56" customWidth="1"/>
    <col min="269" max="270" width="6.5" style="56" customWidth="1"/>
    <col min="271" max="271" width="14.83203125" style="56" customWidth="1"/>
    <col min="272" max="273" width="11.5" style="56" customWidth="1"/>
    <col min="274" max="274" width="6.1640625" style="56" customWidth="1"/>
    <col min="275" max="275" width="22.83203125" style="56" customWidth="1"/>
    <col min="276" max="276" width="11.5" style="56" customWidth="1"/>
    <col min="277" max="277" width="13.83203125" style="56" customWidth="1"/>
    <col min="278" max="278" width="5.83203125" style="56" customWidth="1"/>
    <col min="279" max="279" width="15.5" style="56" customWidth="1"/>
    <col min="280" max="520" width="11.5" style="56"/>
    <col min="521" max="521" width="0.5" style="56" customWidth="1"/>
    <col min="522" max="522" width="3.1640625" style="56" customWidth="1"/>
    <col min="523" max="523" width="8.83203125" style="56" customWidth="1"/>
    <col min="524" max="524" width="14.83203125" style="56" customWidth="1"/>
    <col min="525" max="526" width="6.5" style="56" customWidth="1"/>
    <col min="527" max="527" width="14.83203125" style="56" customWidth="1"/>
    <col min="528" max="529" width="11.5" style="56" customWidth="1"/>
    <col min="530" max="530" width="6.1640625" style="56" customWidth="1"/>
    <col min="531" max="531" width="22.83203125" style="56" customWidth="1"/>
    <col min="532" max="532" width="11.5" style="56" customWidth="1"/>
    <col min="533" max="533" width="13.83203125" style="56" customWidth="1"/>
    <col min="534" max="534" width="5.83203125" style="56" customWidth="1"/>
    <col min="535" max="535" width="15.5" style="56" customWidth="1"/>
    <col min="536" max="776" width="11.5" style="56"/>
    <col min="777" max="777" width="0.5" style="56" customWidth="1"/>
    <col min="778" max="778" width="3.1640625" style="56" customWidth="1"/>
    <col min="779" max="779" width="8.83203125" style="56" customWidth="1"/>
    <col min="780" max="780" width="14.83203125" style="56" customWidth="1"/>
    <col min="781" max="782" width="6.5" style="56" customWidth="1"/>
    <col min="783" max="783" width="14.83203125" style="56" customWidth="1"/>
    <col min="784" max="785" width="11.5" style="56" customWidth="1"/>
    <col min="786" max="786" width="6.1640625" style="56" customWidth="1"/>
    <col min="787" max="787" width="22.83203125" style="56" customWidth="1"/>
    <col min="788" max="788" width="11.5" style="56" customWidth="1"/>
    <col min="789" max="789" width="13.83203125" style="56" customWidth="1"/>
    <col min="790" max="790" width="5.83203125" style="56" customWidth="1"/>
    <col min="791" max="791" width="15.5" style="56" customWidth="1"/>
    <col min="792" max="1032" width="11.5" style="56"/>
    <col min="1033" max="1033" width="0.5" style="56" customWidth="1"/>
    <col min="1034" max="1034" width="3.1640625" style="56" customWidth="1"/>
    <col min="1035" max="1035" width="8.83203125" style="56" customWidth="1"/>
    <col min="1036" max="1036" width="14.83203125" style="56" customWidth="1"/>
    <col min="1037" max="1038" width="6.5" style="56" customWidth="1"/>
    <col min="1039" max="1039" width="14.83203125" style="56" customWidth="1"/>
    <col min="1040" max="1041" width="11.5" style="56" customWidth="1"/>
    <col min="1042" max="1042" width="6.1640625" style="56" customWidth="1"/>
    <col min="1043" max="1043" width="22.83203125" style="56" customWidth="1"/>
    <col min="1044" max="1044" width="11.5" style="56" customWidth="1"/>
    <col min="1045" max="1045" width="13.83203125" style="56" customWidth="1"/>
    <col min="1046" max="1046" width="5.83203125" style="56" customWidth="1"/>
    <col min="1047" max="1047" width="15.5" style="56" customWidth="1"/>
    <col min="1048" max="1288" width="11.5" style="56"/>
    <col min="1289" max="1289" width="0.5" style="56" customWidth="1"/>
    <col min="1290" max="1290" width="3.1640625" style="56" customWidth="1"/>
    <col min="1291" max="1291" width="8.83203125" style="56" customWidth="1"/>
    <col min="1292" max="1292" width="14.83203125" style="56" customWidth="1"/>
    <col min="1293" max="1294" width="6.5" style="56" customWidth="1"/>
    <col min="1295" max="1295" width="14.83203125" style="56" customWidth="1"/>
    <col min="1296" max="1297" width="11.5" style="56" customWidth="1"/>
    <col min="1298" max="1298" width="6.1640625" style="56" customWidth="1"/>
    <col min="1299" max="1299" width="22.83203125" style="56" customWidth="1"/>
    <col min="1300" max="1300" width="11.5" style="56" customWidth="1"/>
    <col min="1301" max="1301" width="13.83203125" style="56" customWidth="1"/>
    <col min="1302" max="1302" width="5.83203125" style="56" customWidth="1"/>
    <col min="1303" max="1303" width="15.5" style="56" customWidth="1"/>
    <col min="1304" max="1544" width="11.5" style="56"/>
    <col min="1545" max="1545" width="0.5" style="56" customWidth="1"/>
    <col min="1546" max="1546" width="3.1640625" style="56" customWidth="1"/>
    <col min="1547" max="1547" width="8.83203125" style="56" customWidth="1"/>
    <col min="1548" max="1548" width="14.83203125" style="56" customWidth="1"/>
    <col min="1549" max="1550" width="6.5" style="56" customWidth="1"/>
    <col min="1551" max="1551" width="14.83203125" style="56" customWidth="1"/>
    <col min="1552" max="1553" width="11.5" style="56" customWidth="1"/>
    <col min="1554" max="1554" width="6.1640625" style="56" customWidth="1"/>
    <col min="1555" max="1555" width="22.83203125" style="56" customWidth="1"/>
    <col min="1556" max="1556" width="11.5" style="56" customWidth="1"/>
    <col min="1557" max="1557" width="13.83203125" style="56" customWidth="1"/>
    <col min="1558" max="1558" width="5.83203125" style="56" customWidth="1"/>
    <col min="1559" max="1559" width="15.5" style="56" customWidth="1"/>
    <col min="1560" max="1800" width="11.5" style="56"/>
    <col min="1801" max="1801" width="0.5" style="56" customWidth="1"/>
    <col min="1802" max="1802" width="3.1640625" style="56" customWidth="1"/>
    <col min="1803" max="1803" width="8.83203125" style="56" customWidth="1"/>
    <col min="1804" max="1804" width="14.83203125" style="56" customWidth="1"/>
    <col min="1805" max="1806" width="6.5" style="56" customWidth="1"/>
    <col min="1807" max="1807" width="14.83203125" style="56" customWidth="1"/>
    <col min="1808" max="1809" width="11.5" style="56" customWidth="1"/>
    <col min="1810" max="1810" width="6.1640625" style="56" customWidth="1"/>
    <col min="1811" max="1811" width="22.83203125" style="56" customWidth="1"/>
    <col min="1812" max="1812" width="11.5" style="56" customWidth="1"/>
    <col min="1813" max="1813" width="13.83203125" style="56" customWidth="1"/>
    <col min="1814" max="1814" width="5.83203125" style="56" customWidth="1"/>
    <col min="1815" max="1815" width="15.5" style="56" customWidth="1"/>
    <col min="1816" max="2056" width="11.5" style="56"/>
    <col min="2057" max="2057" width="0.5" style="56" customWidth="1"/>
    <col min="2058" max="2058" width="3.1640625" style="56" customWidth="1"/>
    <col min="2059" max="2059" width="8.83203125" style="56" customWidth="1"/>
    <col min="2060" max="2060" width="14.83203125" style="56" customWidth="1"/>
    <col min="2061" max="2062" width="6.5" style="56" customWidth="1"/>
    <col min="2063" max="2063" width="14.83203125" style="56" customWidth="1"/>
    <col min="2064" max="2065" width="11.5" style="56" customWidth="1"/>
    <col min="2066" max="2066" width="6.1640625" style="56" customWidth="1"/>
    <col min="2067" max="2067" width="22.83203125" style="56" customWidth="1"/>
    <col min="2068" max="2068" width="11.5" style="56" customWidth="1"/>
    <col min="2069" max="2069" width="13.83203125" style="56" customWidth="1"/>
    <col min="2070" max="2070" width="5.83203125" style="56" customWidth="1"/>
    <col min="2071" max="2071" width="15.5" style="56" customWidth="1"/>
    <col min="2072" max="2312" width="11.5" style="56"/>
    <col min="2313" max="2313" width="0.5" style="56" customWidth="1"/>
    <col min="2314" max="2314" width="3.1640625" style="56" customWidth="1"/>
    <col min="2315" max="2315" width="8.83203125" style="56" customWidth="1"/>
    <col min="2316" max="2316" width="14.83203125" style="56" customWidth="1"/>
    <col min="2317" max="2318" width="6.5" style="56" customWidth="1"/>
    <col min="2319" max="2319" width="14.83203125" style="56" customWidth="1"/>
    <col min="2320" max="2321" width="11.5" style="56" customWidth="1"/>
    <col min="2322" max="2322" width="6.1640625" style="56" customWidth="1"/>
    <col min="2323" max="2323" width="22.83203125" style="56" customWidth="1"/>
    <col min="2324" max="2324" width="11.5" style="56" customWidth="1"/>
    <col min="2325" max="2325" width="13.83203125" style="56" customWidth="1"/>
    <col min="2326" max="2326" width="5.83203125" style="56" customWidth="1"/>
    <col min="2327" max="2327" width="15.5" style="56" customWidth="1"/>
    <col min="2328" max="2568" width="11.5" style="56"/>
    <col min="2569" max="2569" width="0.5" style="56" customWidth="1"/>
    <col min="2570" max="2570" width="3.1640625" style="56" customWidth="1"/>
    <col min="2571" max="2571" width="8.83203125" style="56" customWidth="1"/>
    <col min="2572" max="2572" width="14.83203125" style="56" customWidth="1"/>
    <col min="2573" max="2574" width="6.5" style="56" customWidth="1"/>
    <col min="2575" max="2575" width="14.83203125" style="56" customWidth="1"/>
    <col min="2576" max="2577" width="11.5" style="56" customWidth="1"/>
    <col min="2578" max="2578" width="6.1640625" style="56" customWidth="1"/>
    <col min="2579" max="2579" width="22.83203125" style="56" customWidth="1"/>
    <col min="2580" max="2580" width="11.5" style="56" customWidth="1"/>
    <col min="2581" max="2581" width="13.83203125" style="56" customWidth="1"/>
    <col min="2582" max="2582" width="5.83203125" style="56" customWidth="1"/>
    <col min="2583" max="2583" width="15.5" style="56" customWidth="1"/>
    <col min="2584" max="2824" width="11.5" style="56"/>
    <col min="2825" max="2825" width="0.5" style="56" customWidth="1"/>
    <col min="2826" max="2826" width="3.1640625" style="56" customWidth="1"/>
    <col min="2827" max="2827" width="8.83203125" style="56" customWidth="1"/>
    <col min="2828" max="2828" width="14.83203125" style="56" customWidth="1"/>
    <col min="2829" max="2830" width="6.5" style="56" customWidth="1"/>
    <col min="2831" max="2831" width="14.83203125" style="56" customWidth="1"/>
    <col min="2832" max="2833" width="11.5" style="56" customWidth="1"/>
    <col min="2834" max="2834" width="6.1640625" style="56" customWidth="1"/>
    <col min="2835" max="2835" width="22.83203125" style="56" customWidth="1"/>
    <col min="2836" max="2836" width="11.5" style="56" customWidth="1"/>
    <col min="2837" max="2837" width="13.83203125" style="56" customWidth="1"/>
    <col min="2838" max="2838" width="5.83203125" style="56" customWidth="1"/>
    <col min="2839" max="2839" width="15.5" style="56" customWidth="1"/>
    <col min="2840" max="3080" width="11.5" style="56"/>
    <col min="3081" max="3081" width="0.5" style="56" customWidth="1"/>
    <col min="3082" max="3082" width="3.1640625" style="56" customWidth="1"/>
    <col min="3083" max="3083" width="8.83203125" style="56" customWidth="1"/>
    <col min="3084" max="3084" width="14.83203125" style="56" customWidth="1"/>
    <col min="3085" max="3086" width="6.5" style="56" customWidth="1"/>
    <col min="3087" max="3087" width="14.83203125" style="56" customWidth="1"/>
    <col min="3088" max="3089" width="11.5" style="56" customWidth="1"/>
    <col min="3090" max="3090" width="6.1640625" style="56" customWidth="1"/>
    <col min="3091" max="3091" width="22.83203125" style="56" customWidth="1"/>
    <col min="3092" max="3092" width="11.5" style="56" customWidth="1"/>
    <col min="3093" max="3093" width="13.83203125" style="56" customWidth="1"/>
    <col min="3094" max="3094" width="5.83203125" style="56" customWidth="1"/>
    <col min="3095" max="3095" width="15.5" style="56" customWidth="1"/>
    <col min="3096" max="3336" width="11.5" style="56"/>
    <col min="3337" max="3337" width="0.5" style="56" customWidth="1"/>
    <col min="3338" max="3338" width="3.1640625" style="56" customWidth="1"/>
    <col min="3339" max="3339" width="8.83203125" style="56" customWidth="1"/>
    <col min="3340" max="3340" width="14.83203125" style="56" customWidth="1"/>
    <col min="3341" max="3342" width="6.5" style="56" customWidth="1"/>
    <col min="3343" max="3343" width="14.83203125" style="56" customWidth="1"/>
    <col min="3344" max="3345" width="11.5" style="56" customWidth="1"/>
    <col min="3346" max="3346" width="6.1640625" style="56" customWidth="1"/>
    <col min="3347" max="3347" width="22.83203125" style="56" customWidth="1"/>
    <col min="3348" max="3348" width="11.5" style="56" customWidth="1"/>
    <col min="3349" max="3349" width="13.83203125" style="56" customWidth="1"/>
    <col min="3350" max="3350" width="5.83203125" style="56" customWidth="1"/>
    <col min="3351" max="3351" width="15.5" style="56" customWidth="1"/>
    <col min="3352" max="3592" width="11.5" style="56"/>
    <col min="3593" max="3593" width="0.5" style="56" customWidth="1"/>
    <col min="3594" max="3594" width="3.1640625" style="56" customWidth="1"/>
    <col min="3595" max="3595" width="8.83203125" style="56" customWidth="1"/>
    <col min="3596" max="3596" width="14.83203125" style="56" customWidth="1"/>
    <col min="3597" max="3598" width="6.5" style="56" customWidth="1"/>
    <col min="3599" max="3599" width="14.83203125" style="56" customWidth="1"/>
    <col min="3600" max="3601" width="11.5" style="56" customWidth="1"/>
    <col min="3602" max="3602" width="6.1640625" style="56" customWidth="1"/>
    <col min="3603" max="3603" width="22.83203125" style="56" customWidth="1"/>
    <col min="3604" max="3604" width="11.5" style="56" customWidth="1"/>
    <col min="3605" max="3605" width="13.83203125" style="56" customWidth="1"/>
    <col min="3606" max="3606" width="5.83203125" style="56" customWidth="1"/>
    <col min="3607" max="3607" width="15.5" style="56" customWidth="1"/>
    <col min="3608" max="3848" width="11.5" style="56"/>
    <col min="3849" max="3849" width="0.5" style="56" customWidth="1"/>
    <col min="3850" max="3850" width="3.1640625" style="56" customWidth="1"/>
    <col min="3851" max="3851" width="8.83203125" style="56" customWidth="1"/>
    <col min="3852" max="3852" width="14.83203125" style="56" customWidth="1"/>
    <col min="3853" max="3854" width="6.5" style="56" customWidth="1"/>
    <col min="3855" max="3855" width="14.83203125" style="56" customWidth="1"/>
    <col min="3856" max="3857" width="11.5" style="56" customWidth="1"/>
    <col min="3858" max="3858" width="6.1640625" style="56" customWidth="1"/>
    <col min="3859" max="3859" width="22.83203125" style="56" customWidth="1"/>
    <col min="3860" max="3860" width="11.5" style="56" customWidth="1"/>
    <col min="3861" max="3861" width="13.83203125" style="56" customWidth="1"/>
    <col min="3862" max="3862" width="5.83203125" style="56" customWidth="1"/>
    <col min="3863" max="3863" width="15.5" style="56" customWidth="1"/>
    <col min="3864" max="4104" width="11.5" style="56"/>
    <col min="4105" max="4105" width="0.5" style="56" customWidth="1"/>
    <col min="4106" max="4106" width="3.1640625" style="56" customWidth="1"/>
    <col min="4107" max="4107" width="8.83203125" style="56" customWidth="1"/>
    <col min="4108" max="4108" width="14.83203125" style="56" customWidth="1"/>
    <col min="4109" max="4110" width="6.5" style="56" customWidth="1"/>
    <col min="4111" max="4111" width="14.83203125" style="56" customWidth="1"/>
    <col min="4112" max="4113" width="11.5" style="56" customWidth="1"/>
    <col min="4114" max="4114" width="6.1640625" style="56" customWidth="1"/>
    <col min="4115" max="4115" width="22.83203125" style="56" customWidth="1"/>
    <col min="4116" max="4116" width="11.5" style="56" customWidth="1"/>
    <col min="4117" max="4117" width="13.83203125" style="56" customWidth="1"/>
    <col min="4118" max="4118" width="5.83203125" style="56" customWidth="1"/>
    <col min="4119" max="4119" width="15.5" style="56" customWidth="1"/>
    <col min="4120" max="4360" width="11.5" style="56"/>
    <col min="4361" max="4361" width="0.5" style="56" customWidth="1"/>
    <col min="4362" max="4362" width="3.1640625" style="56" customWidth="1"/>
    <col min="4363" max="4363" width="8.83203125" style="56" customWidth="1"/>
    <col min="4364" max="4364" width="14.83203125" style="56" customWidth="1"/>
    <col min="4365" max="4366" width="6.5" style="56" customWidth="1"/>
    <col min="4367" max="4367" width="14.83203125" style="56" customWidth="1"/>
    <col min="4368" max="4369" width="11.5" style="56" customWidth="1"/>
    <col min="4370" max="4370" width="6.1640625" style="56" customWidth="1"/>
    <col min="4371" max="4371" width="22.83203125" style="56" customWidth="1"/>
    <col min="4372" max="4372" width="11.5" style="56" customWidth="1"/>
    <col min="4373" max="4373" width="13.83203125" style="56" customWidth="1"/>
    <col min="4374" max="4374" width="5.83203125" style="56" customWidth="1"/>
    <col min="4375" max="4375" width="15.5" style="56" customWidth="1"/>
    <col min="4376" max="4616" width="11.5" style="56"/>
    <col min="4617" max="4617" width="0.5" style="56" customWidth="1"/>
    <col min="4618" max="4618" width="3.1640625" style="56" customWidth="1"/>
    <col min="4619" max="4619" width="8.83203125" style="56" customWidth="1"/>
    <col min="4620" max="4620" width="14.83203125" style="56" customWidth="1"/>
    <col min="4621" max="4622" width="6.5" style="56" customWidth="1"/>
    <col min="4623" max="4623" width="14.83203125" style="56" customWidth="1"/>
    <col min="4624" max="4625" width="11.5" style="56" customWidth="1"/>
    <col min="4626" max="4626" width="6.1640625" style="56" customWidth="1"/>
    <col min="4627" max="4627" width="22.83203125" style="56" customWidth="1"/>
    <col min="4628" max="4628" width="11.5" style="56" customWidth="1"/>
    <col min="4629" max="4629" width="13.83203125" style="56" customWidth="1"/>
    <col min="4630" max="4630" width="5.83203125" style="56" customWidth="1"/>
    <col min="4631" max="4631" width="15.5" style="56" customWidth="1"/>
    <col min="4632" max="4872" width="11.5" style="56"/>
    <col min="4873" max="4873" width="0.5" style="56" customWidth="1"/>
    <col min="4874" max="4874" width="3.1640625" style="56" customWidth="1"/>
    <col min="4875" max="4875" width="8.83203125" style="56" customWidth="1"/>
    <col min="4876" max="4876" width="14.83203125" style="56" customWidth="1"/>
    <col min="4877" max="4878" width="6.5" style="56" customWidth="1"/>
    <col min="4879" max="4879" width="14.83203125" style="56" customWidth="1"/>
    <col min="4880" max="4881" width="11.5" style="56" customWidth="1"/>
    <col min="4882" max="4882" width="6.1640625" style="56" customWidth="1"/>
    <col min="4883" max="4883" width="22.83203125" style="56" customWidth="1"/>
    <col min="4884" max="4884" width="11.5" style="56" customWidth="1"/>
    <col min="4885" max="4885" width="13.83203125" style="56" customWidth="1"/>
    <col min="4886" max="4886" width="5.83203125" style="56" customWidth="1"/>
    <col min="4887" max="4887" width="15.5" style="56" customWidth="1"/>
    <col min="4888" max="5128" width="11.5" style="56"/>
    <col min="5129" max="5129" width="0.5" style="56" customWidth="1"/>
    <col min="5130" max="5130" width="3.1640625" style="56" customWidth="1"/>
    <col min="5131" max="5131" width="8.83203125" style="56" customWidth="1"/>
    <col min="5132" max="5132" width="14.83203125" style="56" customWidth="1"/>
    <col min="5133" max="5134" width="6.5" style="56" customWidth="1"/>
    <col min="5135" max="5135" width="14.83203125" style="56" customWidth="1"/>
    <col min="5136" max="5137" width="11.5" style="56" customWidth="1"/>
    <col min="5138" max="5138" width="6.1640625" style="56" customWidth="1"/>
    <col min="5139" max="5139" width="22.83203125" style="56" customWidth="1"/>
    <col min="5140" max="5140" width="11.5" style="56" customWidth="1"/>
    <col min="5141" max="5141" width="13.83203125" style="56" customWidth="1"/>
    <col min="5142" max="5142" width="5.83203125" style="56" customWidth="1"/>
    <col min="5143" max="5143" width="15.5" style="56" customWidth="1"/>
    <col min="5144" max="5384" width="11.5" style="56"/>
    <col min="5385" max="5385" width="0.5" style="56" customWidth="1"/>
    <col min="5386" max="5386" width="3.1640625" style="56" customWidth="1"/>
    <col min="5387" max="5387" width="8.83203125" style="56" customWidth="1"/>
    <col min="5388" max="5388" width="14.83203125" style="56" customWidth="1"/>
    <col min="5389" max="5390" width="6.5" style="56" customWidth="1"/>
    <col min="5391" max="5391" width="14.83203125" style="56" customWidth="1"/>
    <col min="5392" max="5393" width="11.5" style="56" customWidth="1"/>
    <col min="5394" max="5394" width="6.1640625" style="56" customWidth="1"/>
    <col min="5395" max="5395" width="22.83203125" style="56" customWidth="1"/>
    <col min="5396" max="5396" width="11.5" style="56" customWidth="1"/>
    <col min="5397" max="5397" width="13.83203125" style="56" customWidth="1"/>
    <col min="5398" max="5398" width="5.83203125" style="56" customWidth="1"/>
    <col min="5399" max="5399" width="15.5" style="56" customWidth="1"/>
    <col min="5400" max="5640" width="11.5" style="56"/>
    <col min="5641" max="5641" width="0.5" style="56" customWidth="1"/>
    <col min="5642" max="5642" width="3.1640625" style="56" customWidth="1"/>
    <col min="5643" max="5643" width="8.83203125" style="56" customWidth="1"/>
    <col min="5644" max="5644" width="14.83203125" style="56" customWidth="1"/>
    <col min="5645" max="5646" width="6.5" style="56" customWidth="1"/>
    <col min="5647" max="5647" width="14.83203125" style="56" customWidth="1"/>
    <col min="5648" max="5649" width="11.5" style="56" customWidth="1"/>
    <col min="5650" max="5650" width="6.1640625" style="56" customWidth="1"/>
    <col min="5651" max="5651" width="22.83203125" style="56" customWidth="1"/>
    <col min="5652" max="5652" width="11.5" style="56" customWidth="1"/>
    <col min="5653" max="5653" width="13.83203125" style="56" customWidth="1"/>
    <col min="5654" max="5654" width="5.83203125" style="56" customWidth="1"/>
    <col min="5655" max="5655" width="15.5" style="56" customWidth="1"/>
    <col min="5656" max="5896" width="11.5" style="56"/>
    <col min="5897" max="5897" width="0.5" style="56" customWidth="1"/>
    <col min="5898" max="5898" width="3.1640625" style="56" customWidth="1"/>
    <col min="5899" max="5899" width="8.83203125" style="56" customWidth="1"/>
    <col min="5900" max="5900" width="14.83203125" style="56" customWidth="1"/>
    <col min="5901" max="5902" width="6.5" style="56" customWidth="1"/>
    <col min="5903" max="5903" width="14.83203125" style="56" customWidth="1"/>
    <col min="5904" max="5905" width="11.5" style="56" customWidth="1"/>
    <col min="5906" max="5906" width="6.1640625" style="56" customWidth="1"/>
    <col min="5907" max="5907" width="22.83203125" style="56" customWidth="1"/>
    <col min="5908" max="5908" width="11.5" style="56" customWidth="1"/>
    <col min="5909" max="5909" width="13.83203125" style="56" customWidth="1"/>
    <col min="5910" max="5910" width="5.83203125" style="56" customWidth="1"/>
    <col min="5911" max="5911" width="15.5" style="56" customWidth="1"/>
    <col min="5912" max="6152" width="11.5" style="56"/>
    <col min="6153" max="6153" width="0.5" style="56" customWidth="1"/>
    <col min="6154" max="6154" width="3.1640625" style="56" customWidth="1"/>
    <col min="6155" max="6155" width="8.83203125" style="56" customWidth="1"/>
    <col min="6156" max="6156" width="14.83203125" style="56" customWidth="1"/>
    <col min="6157" max="6158" width="6.5" style="56" customWidth="1"/>
    <col min="6159" max="6159" width="14.83203125" style="56" customWidth="1"/>
    <col min="6160" max="6161" width="11.5" style="56" customWidth="1"/>
    <col min="6162" max="6162" width="6.1640625" style="56" customWidth="1"/>
    <col min="6163" max="6163" width="22.83203125" style="56" customWidth="1"/>
    <col min="6164" max="6164" width="11.5" style="56" customWidth="1"/>
    <col min="6165" max="6165" width="13.83203125" style="56" customWidth="1"/>
    <col min="6166" max="6166" width="5.83203125" style="56" customWidth="1"/>
    <col min="6167" max="6167" width="15.5" style="56" customWidth="1"/>
    <col min="6168" max="6408" width="11.5" style="56"/>
    <col min="6409" max="6409" width="0.5" style="56" customWidth="1"/>
    <col min="6410" max="6410" width="3.1640625" style="56" customWidth="1"/>
    <col min="6411" max="6411" width="8.83203125" style="56" customWidth="1"/>
    <col min="6412" max="6412" width="14.83203125" style="56" customWidth="1"/>
    <col min="6413" max="6414" width="6.5" style="56" customWidth="1"/>
    <col min="6415" max="6415" width="14.83203125" style="56" customWidth="1"/>
    <col min="6416" max="6417" width="11.5" style="56" customWidth="1"/>
    <col min="6418" max="6418" width="6.1640625" style="56" customWidth="1"/>
    <col min="6419" max="6419" width="22.83203125" style="56" customWidth="1"/>
    <col min="6420" max="6420" width="11.5" style="56" customWidth="1"/>
    <col min="6421" max="6421" width="13.83203125" style="56" customWidth="1"/>
    <col min="6422" max="6422" width="5.83203125" style="56" customWidth="1"/>
    <col min="6423" max="6423" width="15.5" style="56" customWidth="1"/>
    <col min="6424" max="6664" width="11.5" style="56"/>
    <col min="6665" max="6665" width="0.5" style="56" customWidth="1"/>
    <col min="6666" max="6666" width="3.1640625" style="56" customWidth="1"/>
    <col min="6667" max="6667" width="8.83203125" style="56" customWidth="1"/>
    <col min="6668" max="6668" width="14.83203125" style="56" customWidth="1"/>
    <col min="6669" max="6670" width="6.5" style="56" customWidth="1"/>
    <col min="6671" max="6671" width="14.83203125" style="56" customWidth="1"/>
    <col min="6672" max="6673" width="11.5" style="56" customWidth="1"/>
    <col min="6674" max="6674" width="6.1640625" style="56" customWidth="1"/>
    <col min="6675" max="6675" width="22.83203125" style="56" customWidth="1"/>
    <col min="6676" max="6676" width="11.5" style="56" customWidth="1"/>
    <col min="6677" max="6677" width="13.83203125" style="56" customWidth="1"/>
    <col min="6678" max="6678" width="5.83203125" style="56" customWidth="1"/>
    <col min="6679" max="6679" width="15.5" style="56" customWidth="1"/>
    <col min="6680" max="6920" width="11.5" style="56"/>
    <col min="6921" max="6921" width="0.5" style="56" customWidth="1"/>
    <col min="6922" max="6922" width="3.1640625" style="56" customWidth="1"/>
    <col min="6923" max="6923" width="8.83203125" style="56" customWidth="1"/>
    <col min="6924" max="6924" width="14.83203125" style="56" customWidth="1"/>
    <col min="6925" max="6926" width="6.5" style="56" customWidth="1"/>
    <col min="6927" max="6927" width="14.83203125" style="56" customWidth="1"/>
    <col min="6928" max="6929" width="11.5" style="56" customWidth="1"/>
    <col min="6930" max="6930" width="6.1640625" style="56" customWidth="1"/>
    <col min="6931" max="6931" width="22.83203125" style="56" customWidth="1"/>
    <col min="6932" max="6932" width="11.5" style="56" customWidth="1"/>
    <col min="6933" max="6933" width="13.83203125" style="56" customWidth="1"/>
    <col min="6934" max="6934" width="5.83203125" style="56" customWidth="1"/>
    <col min="6935" max="6935" width="15.5" style="56" customWidth="1"/>
    <col min="6936" max="7176" width="11.5" style="56"/>
    <col min="7177" max="7177" width="0.5" style="56" customWidth="1"/>
    <col min="7178" max="7178" width="3.1640625" style="56" customWidth="1"/>
    <col min="7179" max="7179" width="8.83203125" style="56" customWidth="1"/>
    <col min="7180" max="7180" width="14.83203125" style="56" customWidth="1"/>
    <col min="7181" max="7182" width="6.5" style="56" customWidth="1"/>
    <col min="7183" max="7183" width="14.83203125" style="56" customWidth="1"/>
    <col min="7184" max="7185" width="11.5" style="56" customWidth="1"/>
    <col min="7186" max="7186" width="6.1640625" style="56" customWidth="1"/>
    <col min="7187" max="7187" width="22.83203125" style="56" customWidth="1"/>
    <col min="7188" max="7188" width="11.5" style="56" customWidth="1"/>
    <col min="7189" max="7189" width="13.83203125" style="56" customWidth="1"/>
    <col min="7190" max="7190" width="5.83203125" style="56" customWidth="1"/>
    <col min="7191" max="7191" width="15.5" style="56" customWidth="1"/>
    <col min="7192" max="7432" width="11.5" style="56"/>
    <col min="7433" max="7433" width="0.5" style="56" customWidth="1"/>
    <col min="7434" max="7434" width="3.1640625" style="56" customWidth="1"/>
    <col min="7435" max="7435" width="8.83203125" style="56" customWidth="1"/>
    <col min="7436" max="7436" width="14.83203125" style="56" customWidth="1"/>
    <col min="7437" max="7438" width="6.5" style="56" customWidth="1"/>
    <col min="7439" max="7439" width="14.83203125" style="56" customWidth="1"/>
    <col min="7440" max="7441" width="11.5" style="56" customWidth="1"/>
    <col min="7442" max="7442" width="6.1640625" style="56" customWidth="1"/>
    <col min="7443" max="7443" width="22.83203125" style="56" customWidth="1"/>
    <col min="7444" max="7444" width="11.5" style="56" customWidth="1"/>
    <col min="7445" max="7445" width="13.83203125" style="56" customWidth="1"/>
    <col min="7446" max="7446" width="5.83203125" style="56" customWidth="1"/>
    <col min="7447" max="7447" width="15.5" style="56" customWidth="1"/>
    <col min="7448" max="7688" width="11.5" style="56"/>
    <col min="7689" max="7689" width="0.5" style="56" customWidth="1"/>
    <col min="7690" max="7690" width="3.1640625" style="56" customWidth="1"/>
    <col min="7691" max="7691" width="8.83203125" style="56" customWidth="1"/>
    <col min="7692" max="7692" width="14.83203125" style="56" customWidth="1"/>
    <col min="7693" max="7694" width="6.5" style="56" customWidth="1"/>
    <col min="7695" max="7695" width="14.83203125" style="56" customWidth="1"/>
    <col min="7696" max="7697" width="11.5" style="56" customWidth="1"/>
    <col min="7698" max="7698" width="6.1640625" style="56" customWidth="1"/>
    <col min="7699" max="7699" width="22.83203125" style="56" customWidth="1"/>
    <col min="7700" max="7700" width="11.5" style="56" customWidth="1"/>
    <col min="7701" max="7701" width="13.83203125" style="56" customWidth="1"/>
    <col min="7702" max="7702" width="5.83203125" style="56" customWidth="1"/>
    <col min="7703" max="7703" width="15.5" style="56" customWidth="1"/>
    <col min="7704" max="7944" width="11.5" style="56"/>
    <col min="7945" max="7945" width="0.5" style="56" customWidth="1"/>
    <col min="7946" max="7946" width="3.1640625" style="56" customWidth="1"/>
    <col min="7947" max="7947" width="8.83203125" style="56" customWidth="1"/>
    <col min="7948" max="7948" width="14.83203125" style="56" customWidth="1"/>
    <col min="7949" max="7950" width="6.5" style="56" customWidth="1"/>
    <col min="7951" max="7951" width="14.83203125" style="56" customWidth="1"/>
    <col min="7952" max="7953" width="11.5" style="56" customWidth="1"/>
    <col min="7954" max="7954" width="6.1640625" style="56" customWidth="1"/>
    <col min="7955" max="7955" width="22.83203125" style="56" customWidth="1"/>
    <col min="7956" max="7956" width="11.5" style="56" customWidth="1"/>
    <col min="7957" max="7957" width="13.83203125" style="56" customWidth="1"/>
    <col min="7958" max="7958" width="5.83203125" style="56" customWidth="1"/>
    <col min="7959" max="7959" width="15.5" style="56" customWidth="1"/>
    <col min="7960" max="8200" width="11.5" style="56"/>
    <col min="8201" max="8201" width="0.5" style="56" customWidth="1"/>
    <col min="8202" max="8202" width="3.1640625" style="56" customWidth="1"/>
    <col min="8203" max="8203" width="8.83203125" style="56" customWidth="1"/>
    <col min="8204" max="8204" width="14.83203125" style="56" customWidth="1"/>
    <col min="8205" max="8206" width="6.5" style="56" customWidth="1"/>
    <col min="8207" max="8207" width="14.83203125" style="56" customWidth="1"/>
    <col min="8208" max="8209" width="11.5" style="56" customWidth="1"/>
    <col min="8210" max="8210" width="6.1640625" style="56" customWidth="1"/>
    <col min="8211" max="8211" width="22.83203125" style="56" customWidth="1"/>
    <col min="8212" max="8212" width="11.5" style="56" customWidth="1"/>
    <col min="8213" max="8213" width="13.83203125" style="56" customWidth="1"/>
    <col min="8214" max="8214" width="5.83203125" style="56" customWidth="1"/>
    <col min="8215" max="8215" width="15.5" style="56" customWidth="1"/>
    <col min="8216" max="8456" width="11.5" style="56"/>
    <col min="8457" max="8457" width="0.5" style="56" customWidth="1"/>
    <col min="8458" max="8458" width="3.1640625" style="56" customWidth="1"/>
    <col min="8459" max="8459" width="8.83203125" style="56" customWidth="1"/>
    <col min="8460" max="8460" width="14.83203125" style="56" customWidth="1"/>
    <col min="8461" max="8462" width="6.5" style="56" customWidth="1"/>
    <col min="8463" max="8463" width="14.83203125" style="56" customWidth="1"/>
    <col min="8464" max="8465" width="11.5" style="56" customWidth="1"/>
    <col min="8466" max="8466" width="6.1640625" style="56" customWidth="1"/>
    <col min="8467" max="8467" width="22.83203125" style="56" customWidth="1"/>
    <col min="8468" max="8468" width="11.5" style="56" customWidth="1"/>
    <col min="8469" max="8469" width="13.83203125" style="56" customWidth="1"/>
    <col min="8470" max="8470" width="5.83203125" style="56" customWidth="1"/>
    <col min="8471" max="8471" width="15.5" style="56" customWidth="1"/>
    <col min="8472" max="8712" width="11.5" style="56"/>
    <col min="8713" max="8713" width="0.5" style="56" customWidth="1"/>
    <col min="8714" max="8714" width="3.1640625" style="56" customWidth="1"/>
    <col min="8715" max="8715" width="8.83203125" style="56" customWidth="1"/>
    <col min="8716" max="8716" width="14.83203125" style="56" customWidth="1"/>
    <col min="8717" max="8718" width="6.5" style="56" customWidth="1"/>
    <col min="8719" max="8719" width="14.83203125" style="56" customWidth="1"/>
    <col min="8720" max="8721" width="11.5" style="56" customWidth="1"/>
    <col min="8722" max="8722" width="6.1640625" style="56" customWidth="1"/>
    <col min="8723" max="8723" width="22.83203125" style="56" customWidth="1"/>
    <col min="8724" max="8724" width="11.5" style="56" customWidth="1"/>
    <col min="8725" max="8725" width="13.83203125" style="56" customWidth="1"/>
    <col min="8726" max="8726" width="5.83203125" style="56" customWidth="1"/>
    <col min="8727" max="8727" width="15.5" style="56" customWidth="1"/>
    <col min="8728" max="8968" width="11.5" style="56"/>
    <col min="8969" max="8969" width="0.5" style="56" customWidth="1"/>
    <col min="8970" max="8970" width="3.1640625" style="56" customWidth="1"/>
    <col min="8971" max="8971" width="8.83203125" style="56" customWidth="1"/>
    <col min="8972" max="8972" width="14.83203125" style="56" customWidth="1"/>
    <col min="8973" max="8974" width="6.5" style="56" customWidth="1"/>
    <col min="8975" max="8975" width="14.83203125" style="56" customWidth="1"/>
    <col min="8976" max="8977" width="11.5" style="56" customWidth="1"/>
    <col min="8978" max="8978" width="6.1640625" style="56" customWidth="1"/>
    <col min="8979" max="8979" width="22.83203125" style="56" customWidth="1"/>
    <col min="8980" max="8980" width="11.5" style="56" customWidth="1"/>
    <col min="8981" max="8981" width="13.83203125" style="56" customWidth="1"/>
    <col min="8982" max="8982" width="5.83203125" style="56" customWidth="1"/>
    <col min="8983" max="8983" width="15.5" style="56" customWidth="1"/>
    <col min="8984" max="9224" width="11.5" style="56"/>
    <col min="9225" max="9225" width="0.5" style="56" customWidth="1"/>
    <col min="9226" max="9226" width="3.1640625" style="56" customWidth="1"/>
    <col min="9227" max="9227" width="8.83203125" style="56" customWidth="1"/>
    <col min="9228" max="9228" width="14.83203125" style="56" customWidth="1"/>
    <col min="9229" max="9230" width="6.5" style="56" customWidth="1"/>
    <col min="9231" max="9231" width="14.83203125" style="56" customWidth="1"/>
    <col min="9232" max="9233" width="11.5" style="56" customWidth="1"/>
    <col min="9234" max="9234" width="6.1640625" style="56" customWidth="1"/>
    <col min="9235" max="9235" width="22.83203125" style="56" customWidth="1"/>
    <col min="9236" max="9236" width="11.5" style="56" customWidth="1"/>
    <col min="9237" max="9237" width="13.83203125" style="56" customWidth="1"/>
    <col min="9238" max="9238" width="5.83203125" style="56" customWidth="1"/>
    <col min="9239" max="9239" width="15.5" style="56" customWidth="1"/>
    <col min="9240" max="9480" width="11.5" style="56"/>
    <col min="9481" max="9481" width="0.5" style="56" customWidth="1"/>
    <col min="9482" max="9482" width="3.1640625" style="56" customWidth="1"/>
    <col min="9483" max="9483" width="8.83203125" style="56" customWidth="1"/>
    <col min="9484" max="9484" width="14.83203125" style="56" customWidth="1"/>
    <col min="9485" max="9486" width="6.5" style="56" customWidth="1"/>
    <col min="9487" max="9487" width="14.83203125" style="56" customWidth="1"/>
    <col min="9488" max="9489" width="11.5" style="56" customWidth="1"/>
    <col min="9490" max="9490" width="6.1640625" style="56" customWidth="1"/>
    <col min="9491" max="9491" width="22.83203125" style="56" customWidth="1"/>
    <col min="9492" max="9492" width="11.5" style="56" customWidth="1"/>
    <col min="9493" max="9493" width="13.83203125" style="56" customWidth="1"/>
    <col min="9494" max="9494" width="5.83203125" style="56" customWidth="1"/>
    <col min="9495" max="9495" width="15.5" style="56" customWidth="1"/>
    <col min="9496" max="9736" width="11.5" style="56"/>
    <col min="9737" max="9737" width="0.5" style="56" customWidth="1"/>
    <col min="9738" max="9738" width="3.1640625" style="56" customWidth="1"/>
    <col min="9739" max="9739" width="8.83203125" style="56" customWidth="1"/>
    <col min="9740" max="9740" width="14.83203125" style="56" customWidth="1"/>
    <col min="9741" max="9742" width="6.5" style="56" customWidth="1"/>
    <col min="9743" max="9743" width="14.83203125" style="56" customWidth="1"/>
    <col min="9744" max="9745" width="11.5" style="56" customWidth="1"/>
    <col min="9746" max="9746" width="6.1640625" style="56" customWidth="1"/>
    <col min="9747" max="9747" width="22.83203125" style="56" customWidth="1"/>
    <col min="9748" max="9748" width="11.5" style="56" customWidth="1"/>
    <col min="9749" max="9749" width="13.83203125" style="56" customWidth="1"/>
    <col min="9750" max="9750" width="5.83203125" style="56" customWidth="1"/>
    <col min="9751" max="9751" width="15.5" style="56" customWidth="1"/>
    <col min="9752" max="9992" width="11.5" style="56"/>
    <col min="9993" max="9993" width="0.5" style="56" customWidth="1"/>
    <col min="9994" max="9994" width="3.1640625" style="56" customWidth="1"/>
    <col min="9995" max="9995" width="8.83203125" style="56" customWidth="1"/>
    <col min="9996" max="9996" width="14.83203125" style="56" customWidth="1"/>
    <col min="9997" max="9998" width="6.5" style="56" customWidth="1"/>
    <col min="9999" max="9999" width="14.83203125" style="56" customWidth="1"/>
    <col min="10000" max="10001" width="11.5" style="56" customWidth="1"/>
    <col min="10002" max="10002" width="6.1640625" style="56" customWidth="1"/>
    <col min="10003" max="10003" width="22.83203125" style="56" customWidth="1"/>
    <col min="10004" max="10004" width="11.5" style="56" customWidth="1"/>
    <col min="10005" max="10005" width="13.83203125" style="56" customWidth="1"/>
    <col min="10006" max="10006" width="5.83203125" style="56" customWidth="1"/>
    <col min="10007" max="10007" width="15.5" style="56" customWidth="1"/>
    <col min="10008" max="10248" width="11.5" style="56"/>
    <col min="10249" max="10249" width="0.5" style="56" customWidth="1"/>
    <col min="10250" max="10250" width="3.1640625" style="56" customWidth="1"/>
    <col min="10251" max="10251" width="8.83203125" style="56" customWidth="1"/>
    <col min="10252" max="10252" width="14.83203125" style="56" customWidth="1"/>
    <col min="10253" max="10254" width="6.5" style="56" customWidth="1"/>
    <col min="10255" max="10255" width="14.83203125" style="56" customWidth="1"/>
    <col min="10256" max="10257" width="11.5" style="56" customWidth="1"/>
    <col min="10258" max="10258" width="6.1640625" style="56" customWidth="1"/>
    <col min="10259" max="10259" width="22.83203125" style="56" customWidth="1"/>
    <col min="10260" max="10260" width="11.5" style="56" customWidth="1"/>
    <col min="10261" max="10261" width="13.83203125" style="56" customWidth="1"/>
    <col min="10262" max="10262" width="5.83203125" style="56" customWidth="1"/>
    <col min="10263" max="10263" width="15.5" style="56" customWidth="1"/>
    <col min="10264" max="10504" width="11.5" style="56"/>
    <col min="10505" max="10505" width="0.5" style="56" customWidth="1"/>
    <col min="10506" max="10506" width="3.1640625" style="56" customWidth="1"/>
    <col min="10507" max="10507" width="8.83203125" style="56" customWidth="1"/>
    <col min="10508" max="10508" width="14.83203125" style="56" customWidth="1"/>
    <col min="10509" max="10510" width="6.5" style="56" customWidth="1"/>
    <col min="10511" max="10511" width="14.83203125" style="56" customWidth="1"/>
    <col min="10512" max="10513" width="11.5" style="56" customWidth="1"/>
    <col min="10514" max="10514" width="6.1640625" style="56" customWidth="1"/>
    <col min="10515" max="10515" width="22.83203125" style="56" customWidth="1"/>
    <col min="10516" max="10516" width="11.5" style="56" customWidth="1"/>
    <col min="10517" max="10517" width="13.83203125" style="56" customWidth="1"/>
    <col min="10518" max="10518" width="5.83203125" style="56" customWidth="1"/>
    <col min="10519" max="10519" width="15.5" style="56" customWidth="1"/>
    <col min="10520" max="10760" width="11.5" style="56"/>
    <col min="10761" max="10761" width="0.5" style="56" customWidth="1"/>
    <col min="10762" max="10762" width="3.1640625" style="56" customWidth="1"/>
    <col min="10763" max="10763" width="8.83203125" style="56" customWidth="1"/>
    <col min="10764" max="10764" width="14.83203125" style="56" customWidth="1"/>
    <col min="10765" max="10766" width="6.5" style="56" customWidth="1"/>
    <col min="10767" max="10767" width="14.83203125" style="56" customWidth="1"/>
    <col min="10768" max="10769" width="11.5" style="56" customWidth="1"/>
    <col min="10770" max="10770" width="6.1640625" style="56" customWidth="1"/>
    <col min="10771" max="10771" width="22.83203125" style="56" customWidth="1"/>
    <col min="10772" max="10772" width="11.5" style="56" customWidth="1"/>
    <col min="10773" max="10773" width="13.83203125" style="56" customWidth="1"/>
    <col min="10774" max="10774" width="5.83203125" style="56" customWidth="1"/>
    <col min="10775" max="10775" width="15.5" style="56" customWidth="1"/>
    <col min="10776" max="11016" width="11.5" style="56"/>
    <col min="11017" max="11017" width="0.5" style="56" customWidth="1"/>
    <col min="11018" max="11018" width="3.1640625" style="56" customWidth="1"/>
    <col min="11019" max="11019" width="8.83203125" style="56" customWidth="1"/>
    <col min="11020" max="11020" width="14.83203125" style="56" customWidth="1"/>
    <col min="11021" max="11022" width="6.5" style="56" customWidth="1"/>
    <col min="11023" max="11023" width="14.83203125" style="56" customWidth="1"/>
    <col min="11024" max="11025" width="11.5" style="56" customWidth="1"/>
    <col min="11026" max="11026" width="6.1640625" style="56" customWidth="1"/>
    <col min="11027" max="11027" width="22.83203125" style="56" customWidth="1"/>
    <col min="11028" max="11028" width="11.5" style="56" customWidth="1"/>
    <col min="11029" max="11029" width="13.83203125" style="56" customWidth="1"/>
    <col min="11030" max="11030" width="5.83203125" style="56" customWidth="1"/>
    <col min="11031" max="11031" width="15.5" style="56" customWidth="1"/>
    <col min="11032" max="11272" width="11.5" style="56"/>
    <col min="11273" max="11273" width="0.5" style="56" customWidth="1"/>
    <col min="11274" max="11274" width="3.1640625" style="56" customWidth="1"/>
    <col min="11275" max="11275" width="8.83203125" style="56" customWidth="1"/>
    <col min="11276" max="11276" width="14.83203125" style="56" customWidth="1"/>
    <col min="11277" max="11278" width="6.5" style="56" customWidth="1"/>
    <col min="11279" max="11279" width="14.83203125" style="56" customWidth="1"/>
    <col min="11280" max="11281" width="11.5" style="56" customWidth="1"/>
    <col min="11282" max="11282" width="6.1640625" style="56" customWidth="1"/>
    <col min="11283" max="11283" width="22.83203125" style="56" customWidth="1"/>
    <col min="11284" max="11284" width="11.5" style="56" customWidth="1"/>
    <col min="11285" max="11285" width="13.83203125" style="56" customWidth="1"/>
    <col min="11286" max="11286" width="5.83203125" style="56" customWidth="1"/>
    <col min="11287" max="11287" width="15.5" style="56" customWidth="1"/>
    <col min="11288" max="11528" width="11.5" style="56"/>
    <col min="11529" max="11529" width="0.5" style="56" customWidth="1"/>
    <col min="11530" max="11530" width="3.1640625" style="56" customWidth="1"/>
    <col min="11531" max="11531" width="8.83203125" style="56" customWidth="1"/>
    <col min="11532" max="11532" width="14.83203125" style="56" customWidth="1"/>
    <col min="11533" max="11534" width="6.5" style="56" customWidth="1"/>
    <col min="11535" max="11535" width="14.83203125" style="56" customWidth="1"/>
    <col min="11536" max="11537" width="11.5" style="56" customWidth="1"/>
    <col min="11538" max="11538" width="6.1640625" style="56" customWidth="1"/>
    <col min="11539" max="11539" width="22.83203125" style="56" customWidth="1"/>
    <col min="11540" max="11540" width="11.5" style="56" customWidth="1"/>
    <col min="11541" max="11541" width="13.83203125" style="56" customWidth="1"/>
    <col min="11542" max="11542" width="5.83203125" style="56" customWidth="1"/>
    <col min="11543" max="11543" width="15.5" style="56" customWidth="1"/>
    <col min="11544" max="11784" width="11.5" style="56"/>
    <col min="11785" max="11785" width="0.5" style="56" customWidth="1"/>
    <col min="11786" max="11786" width="3.1640625" style="56" customWidth="1"/>
    <col min="11787" max="11787" width="8.83203125" style="56" customWidth="1"/>
    <col min="11788" max="11788" width="14.83203125" style="56" customWidth="1"/>
    <col min="11789" max="11790" width="6.5" style="56" customWidth="1"/>
    <col min="11791" max="11791" width="14.83203125" style="56" customWidth="1"/>
    <col min="11792" max="11793" width="11.5" style="56" customWidth="1"/>
    <col min="11794" max="11794" width="6.1640625" style="56" customWidth="1"/>
    <col min="11795" max="11795" width="22.83203125" style="56" customWidth="1"/>
    <col min="11796" max="11796" width="11.5" style="56" customWidth="1"/>
    <col min="11797" max="11797" width="13.83203125" style="56" customWidth="1"/>
    <col min="11798" max="11798" width="5.83203125" style="56" customWidth="1"/>
    <col min="11799" max="11799" width="15.5" style="56" customWidth="1"/>
    <col min="11800" max="12040" width="11.5" style="56"/>
    <col min="12041" max="12041" width="0.5" style="56" customWidth="1"/>
    <col min="12042" max="12042" width="3.1640625" style="56" customWidth="1"/>
    <col min="12043" max="12043" width="8.83203125" style="56" customWidth="1"/>
    <col min="12044" max="12044" width="14.83203125" style="56" customWidth="1"/>
    <col min="12045" max="12046" width="6.5" style="56" customWidth="1"/>
    <col min="12047" max="12047" width="14.83203125" style="56" customWidth="1"/>
    <col min="12048" max="12049" width="11.5" style="56" customWidth="1"/>
    <col min="12050" max="12050" width="6.1640625" style="56" customWidth="1"/>
    <col min="12051" max="12051" width="22.83203125" style="56" customWidth="1"/>
    <col min="12052" max="12052" width="11.5" style="56" customWidth="1"/>
    <col min="12053" max="12053" width="13.83203125" style="56" customWidth="1"/>
    <col min="12054" max="12054" width="5.83203125" style="56" customWidth="1"/>
    <col min="12055" max="12055" width="15.5" style="56" customWidth="1"/>
    <col min="12056" max="12296" width="11.5" style="56"/>
    <col min="12297" max="12297" width="0.5" style="56" customWidth="1"/>
    <col min="12298" max="12298" width="3.1640625" style="56" customWidth="1"/>
    <col min="12299" max="12299" width="8.83203125" style="56" customWidth="1"/>
    <col min="12300" max="12300" width="14.83203125" style="56" customWidth="1"/>
    <col min="12301" max="12302" width="6.5" style="56" customWidth="1"/>
    <col min="12303" max="12303" width="14.83203125" style="56" customWidth="1"/>
    <col min="12304" max="12305" width="11.5" style="56" customWidth="1"/>
    <col min="12306" max="12306" width="6.1640625" style="56" customWidth="1"/>
    <col min="12307" max="12307" width="22.83203125" style="56" customWidth="1"/>
    <col min="12308" max="12308" width="11.5" style="56" customWidth="1"/>
    <col min="12309" max="12309" width="13.83203125" style="56" customWidth="1"/>
    <col min="12310" max="12310" width="5.83203125" style="56" customWidth="1"/>
    <col min="12311" max="12311" width="15.5" style="56" customWidth="1"/>
    <col min="12312" max="12552" width="11.5" style="56"/>
    <col min="12553" max="12553" width="0.5" style="56" customWidth="1"/>
    <col min="12554" max="12554" width="3.1640625" style="56" customWidth="1"/>
    <col min="12555" max="12555" width="8.83203125" style="56" customWidth="1"/>
    <col min="12556" max="12556" width="14.83203125" style="56" customWidth="1"/>
    <col min="12557" max="12558" width="6.5" style="56" customWidth="1"/>
    <col min="12559" max="12559" width="14.83203125" style="56" customWidth="1"/>
    <col min="12560" max="12561" width="11.5" style="56" customWidth="1"/>
    <col min="12562" max="12562" width="6.1640625" style="56" customWidth="1"/>
    <col min="12563" max="12563" width="22.83203125" style="56" customWidth="1"/>
    <col min="12564" max="12564" width="11.5" style="56" customWidth="1"/>
    <col min="12565" max="12565" width="13.83203125" style="56" customWidth="1"/>
    <col min="12566" max="12566" width="5.83203125" style="56" customWidth="1"/>
    <col min="12567" max="12567" width="15.5" style="56" customWidth="1"/>
    <col min="12568" max="12808" width="11.5" style="56"/>
    <col min="12809" max="12809" width="0.5" style="56" customWidth="1"/>
    <col min="12810" max="12810" width="3.1640625" style="56" customWidth="1"/>
    <col min="12811" max="12811" width="8.83203125" style="56" customWidth="1"/>
    <col min="12812" max="12812" width="14.83203125" style="56" customWidth="1"/>
    <col min="12813" max="12814" width="6.5" style="56" customWidth="1"/>
    <col min="12815" max="12815" width="14.83203125" style="56" customWidth="1"/>
    <col min="12816" max="12817" width="11.5" style="56" customWidth="1"/>
    <col min="12818" max="12818" width="6.1640625" style="56" customWidth="1"/>
    <col min="12819" max="12819" width="22.83203125" style="56" customWidth="1"/>
    <col min="12820" max="12820" width="11.5" style="56" customWidth="1"/>
    <col min="12821" max="12821" width="13.83203125" style="56" customWidth="1"/>
    <col min="12822" max="12822" width="5.83203125" style="56" customWidth="1"/>
    <col min="12823" max="12823" width="15.5" style="56" customWidth="1"/>
    <col min="12824" max="13064" width="11.5" style="56"/>
    <col min="13065" max="13065" width="0.5" style="56" customWidth="1"/>
    <col min="13066" max="13066" width="3.1640625" style="56" customWidth="1"/>
    <col min="13067" max="13067" width="8.83203125" style="56" customWidth="1"/>
    <col min="13068" max="13068" width="14.83203125" style="56" customWidth="1"/>
    <col min="13069" max="13070" width="6.5" style="56" customWidth="1"/>
    <col min="13071" max="13071" width="14.83203125" style="56" customWidth="1"/>
    <col min="13072" max="13073" width="11.5" style="56" customWidth="1"/>
    <col min="13074" max="13074" width="6.1640625" style="56" customWidth="1"/>
    <col min="13075" max="13075" width="22.83203125" style="56" customWidth="1"/>
    <col min="13076" max="13076" width="11.5" style="56" customWidth="1"/>
    <col min="13077" max="13077" width="13.83203125" style="56" customWidth="1"/>
    <col min="13078" max="13078" width="5.83203125" style="56" customWidth="1"/>
    <col min="13079" max="13079" width="15.5" style="56" customWidth="1"/>
    <col min="13080" max="13320" width="11.5" style="56"/>
    <col min="13321" max="13321" width="0.5" style="56" customWidth="1"/>
    <col min="13322" max="13322" width="3.1640625" style="56" customWidth="1"/>
    <col min="13323" max="13323" width="8.83203125" style="56" customWidth="1"/>
    <col min="13324" max="13324" width="14.83203125" style="56" customWidth="1"/>
    <col min="13325" max="13326" width="6.5" style="56" customWidth="1"/>
    <col min="13327" max="13327" width="14.83203125" style="56" customWidth="1"/>
    <col min="13328" max="13329" width="11.5" style="56" customWidth="1"/>
    <col min="13330" max="13330" width="6.1640625" style="56" customWidth="1"/>
    <col min="13331" max="13331" width="22.83203125" style="56" customWidth="1"/>
    <col min="13332" max="13332" width="11.5" style="56" customWidth="1"/>
    <col min="13333" max="13333" width="13.83203125" style="56" customWidth="1"/>
    <col min="13334" max="13334" width="5.83203125" style="56" customWidth="1"/>
    <col min="13335" max="13335" width="15.5" style="56" customWidth="1"/>
    <col min="13336" max="13576" width="11.5" style="56"/>
    <col min="13577" max="13577" width="0.5" style="56" customWidth="1"/>
    <col min="13578" max="13578" width="3.1640625" style="56" customWidth="1"/>
    <col min="13579" max="13579" width="8.83203125" style="56" customWidth="1"/>
    <col min="13580" max="13580" width="14.83203125" style="56" customWidth="1"/>
    <col min="13581" max="13582" width="6.5" style="56" customWidth="1"/>
    <col min="13583" max="13583" width="14.83203125" style="56" customWidth="1"/>
    <col min="13584" max="13585" width="11.5" style="56" customWidth="1"/>
    <col min="13586" max="13586" width="6.1640625" style="56" customWidth="1"/>
    <col min="13587" max="13587" width="22.83203125" style="56" customWidth="1"/>
    <col min="13588" max="13588" width="11.5" style="56" customWidth="1"/>
    <col min="13589" max="13589" width="13.83203125" style="56" customWidth="1"/>
    <col min="13590" max="13590" width="5.83203125" style="56" customWidth="1"/>
    <col min="13591" max="13591" width="15.5" style="56" customWidth="1"/>
    <col min="13592" max="13832" width="11.5" style="56"/>
    <col min="13833" max="13833" width="0.5" style="56" customWidth="1"/>
    <col min="13834" max="13834" width="3.1640625" style="56" customWidth="1"/>
    <col min="13835" max="13835" width="8.83203125" style="56" customWidth="1"/>
    <col min="13836" max="13836" width="14.83203125" style="56" customWidth="1"/>
    <col min="13837" max="13838" width="6.5" style="56" customWidth="1"/>
    <col min="13839" max="13839" width="14.83203125" style="56" customWidth="1"/>
    <col min="13840" max="13841" width="11.5" style="56" customWidth="1"/>
    <col min="13842" max="13842" width="6.1640625" style="56" customWidth="1"/>
    <col min="13843" max="13843" width="22.83203125" style="56" customWidth="1"/>
    <col min="13844" max="13844" width="11.5" style="56" customWidth="1"/>
    <col min="13845" max="13845" width="13.83203125" style="56" customWidth="1"/>
    <col min="13846" max="13846" width="5.83203125" style="56" customWidth="1"/>
    <col min="13847" max="13847" width="15.5" style="56" customWidth="1"/>
    <col min="13848" max="14088" width="11.5" style="56"/>
    <col min="14089" max="14089" width="0.5" style="56" customWidth="1"/>
    <col min="14090" max="14090" width="3.1640625" style="56" customWidth="1"/>
    <col min="14091" max="14091" width="8.83203125" style="56" customWidth="1"/>
    <col min="14092" max="14092" width="14.83203125" style="56" customWidth="1"/>
    <col min="14093" max="14094" width="6.5" style="56" customWidth="1"/>
    <col min="14095" max="14095" width="14.83203125" style="56" customWidth="1"/>
    <col min="14096" max="14097" width="11.5" style="56" customWidth="1"/>
    <col min="14098" max="14098" width="6.1640625" style="56" customWidth="1"/>
    <col min="14099" max="14099" width="22.83203125" style="56" customWidth="1"/>
    <col min="14100" max="14100" width="11.5" style="56" customWidth="1"/>
    <col min="14101" max="14101" width="13.83203125" style="56" customWidth="1"/>
    <col min="14102" max="14102" width="5.83203125" style="56" customWidth="1"/>
    <col min="14103" max="14103" width="15.5" style="56" customWidth="1"/>
    <col min="14104" max="14344" width="11.5" style="56"/>
    <col min="14345" max="14345" width="0.5" style="56" customWidth="1"/>
    <col min="14346" max="14346" width="3.1640625" style="56" customWidth="1"/>
    <col min="14347" max="14347" width="8.83203125" style="56" customWidth="1"/>
    <col min="14348" max="14348" width="14.83203125" style="56" customWidth="1"/>
    <col min="14349" max="14350" width="6.5" style="56" customWidth="1"/>
    <col min="14351" max="14351" width="14.83203125" style="56" customWidth="1"/>
    <col min="14352" max="14353" width="11.5" style="56" customWidth="1"/>
    <col min="14354" max="14354" width="6.1640625" style="56" customWidth="1"/>
    <col min="14355" max="14355" width="22.83203125" style="56" customWidth="1"/>
    <col min="14356" max="14356" width="11.5" style="56" customWidth="1"/>
    <col min="14357" max="14357" width="13.83203125" style="56" customWidth="1"/>
    <col min="14358" max="14358" width="5.83203125" style="56" customWidth="1"/>
    <col min="14359" max="14359" width="15.5" style="56" customWidth="1"/>
    <col min="14360" max="14600" width="11.5" style="56"/>
    <col min="14601" max="14601" width="0.5" style="56" customWidth="1"/>
    <col min="14602" max="14602" width="3.1640625" style="56" customWidth="1"/>
    <col min="14603" max="14603" width="8.83203125" style="56" customWidth="1"/>
    <col min="14604" max="14604" width="14.83203125" style="56" customWidth="1"/>
    <col min="14605" max="14606" width="6.5" style="56" customWidth="1"/>
    <col min="14607" max="14607" width="14.83203125" style="56" customWidth="1"/>
    <col min="14608" max="14609" width="11.5" style="56" customWidth="1"/>
    <col min="14610" max="14610" width="6.1640625" style="56" customWidth="1"/>
    <col min="14611" max="14611" width="22.83203125" style="56" customWidth="1"/>
    <col min="14612" max="14612" width="11.5" style="56" customWidth="1"/>
    <col min="14613" max="14613" width="13.83203125" style="56" customWidth="1"/>
    <col min="14614" max="14614" width="5.83203125" style="56" customWidth="1"/>
    <col min="14615" max="14615" width="15.5" style="56" customWidth="1"/>
    <col min="14616" max="14856" width="11.5" style="56"/>
    <col min="14857" max="14857" width="0.5" style="56" customWidth="1"/>
    <col min="14858" max="14858" width="3.1640625" style="56" customWidth="1"/>
    <col min="14859" max="14859" width="8.83203125" style="56" customWidth="1"/>
    <col min="14860" max="14860" width="14.83203125" style="56" customWidth="1"/>
    <col min="14861" max="14862" width="6.5" style="56" customWidth="1"/>
    <col min="14863" max="14863" width="14.83203125" style="56" customWidth="1"/>
    <col min="14864" max="14865" width="11.5" style="56" customWidth="1"/>
    <col min="14866" max="14866" width="6.1640625" style="56" customWidth="1"/>
    <col min="14867" max="14867" width="22.83203125" style="56" customWidth="1"/>
    <col min="14868" max="14868" width="11.5" style="56" customWidth="1"/>
    <col min="14869" max="14869" width="13.83203125" style="56" customWidth="1"/>
    <col min="14870" max="14870" width="5.83203125" style="56" customWidth="1"/>
    <col min="14871" max="14871" width="15.5" style="56" customWidth="1"/>
    <col min="14872" max="15112" width="11.5" style="56"/>
    <col min="15113" max="15113" width="0.5" style="56" customWidth="1"/>
    <col min="15114" max="15114" width="3.1640625" style="56" customWidth="1"/>
    <col min="15115" max="15115" width="8.83203125" style="56" customWidth="1"/>
    <col min="15116" max="15116" width="14.83203125" style="56" customWidth="1"/>
    <col min="15117" max="15118" width="6.5" style="56" customWidth="1"/>
    <col min="15119" max="15119" width="14.83203125" style="56" customWidth="1"/>
    <col min="15120" max="15121" width="11.5" style="56" customWidth="1"/>
    <col min="15122" max="15122" width="6.1640625" style="56" customWidth="1"/>
    <col min="15123" max="15123" width="22.83203125" style="56" customWidth="1"/>
    <col min="15124" max="15124" width="11.5" style="56" customWidth="1"/>
    <col min="15125" max="15125" width="13.83203125" style="56" customWidth="1"/>
    <col min="15126" max="15126" width="5.83203125" style="56" customWidth="1"/>
    <col min="15127" max="15127" width="15.5" style="56" customWidth="1"/>
    <col min="15128" max="15368" width="11.5" style="56"/>
    <col min="15369" max="15369" width="0.5" style="56" customWidth="1"/>
    <col min="15370" max="15370" width="3.1640625" style="56" customWidth="1"/>
    <col min="15371" max="15371" width="8.83203125" style="56" customWidth="1"/>
    <col min="15372" max="15372" width="14.83203125" style="56" customWidth="1"/>
    <col min="15373" max="15374" width="6.5" style="56" customWidth="1"/>
    <col min="15375" max="15375" width="14.83203125" style="56" customWidth="1"/>
    <col min="15376" max="15377" width="11.5" style="56" customWidth="1"/>
    <col min="15378" max="15378" width="6.1640625" style="56" customWidth="1"/>
    <col min="15379" max="15379" width="22.83203125" style="56" customWidth="1"/>
    <col min="15380" max="15380" width="11.5" style="56" customWidth="1"/>
    <col min="15381" max="15381" width="13.83203125" style="56" customWidth="1"/>
    <col min="15382" max="15382" width="5.83203125" style="56" customWidth="1"/>
    <col min="15383" max="15383" width="15.5" style="56" customWidth="1"/>
    <col min="15384" max="15624" width="11.5" style="56"/>
    <col min="15625" max="15625" width="0.5" style="56" customWidth="1"/>
    <col min="15626" max="15626" width="3.1640625" style="56" customWidth="1"/>
    <col min="15627" max="15627" width="8.83203125" style="56" customWidth="1"/>
    <col min="15628" max="15628" width="14.83203125" style="56" customWidth="1"/>
    <col min="15629" max="15630" width="6.5" style="56" customWidth="1"/>
    <col min="15631" max="15631" width="14.83203125" style="56" customWidth="1"/>
    <col min="15632" max="15633" width="11.5" style="56" customWidth="1"/>
    <col min="15634" max="15634" width="6.1640625" style="56" customWidth="1"/>
    <col min="15635" max="15635" width="22.83203125" style="56" customWidth="1"/>
    <col min="15636" max="15636" width="11.5" style="56" customWidth="1"/>
    <col min="15637" max="15637" width="13.83203125" style="56" customWidth="1"/>
    <col min="15638" max="15638" width="5.83203125" style="56" customWidth="1"/>
    <col min="15639" max="15639" width="15.5" style="56" customWidth="1"/>
    <col min="15640" max="15880" width="11.5" style="56"/>
    <col min="15881" max="15881" width="0.5" style="56" customWidth="1"/>
    <col min="15882" max="15882" width="3.1640625" style="56" customWidth="1"/>
    <col min="15883" max="15883" width="8.83203125" style="56" customWidth="1"/>
    <col min="15884" max="15884" width="14.83203125" style="56" customWidth="1"/>
    <col min="15885" max="15886" width="6.5" style="56" customWidth="1"/>
    <col min="15887" max="15887" width="14.83203125" style="56" customWidth="1"/>
    <col min="15888" max="15889" width="11.5" style="56" customWidth="1"/>
    <col min="15890" max="15890" width="6.1640625" style="56" customWidth="1"/>
    <col min="15891" max="15891" width="22.83203125" style="56" customWidth="1"/>
    <col min="15892" max="15892" width="11.5" style="56" customWidth="1"/>
    <col min="15893" max="15893" width="13.83203125" style="56" customWidth="1"/>
    <col min="15894" max="15894" width="5.83203125" style="56" customWidth="1"/>
    <col min="15895" max="15895" width="15.5" style="56" customWidth="1"/>
    <col min="15896" max="16136" width="11.5" style="56"/>
    <col min="16137" max="16137" width="0.5" style="56" customWidth="1"/>
    <col min="16138" max="16138" width="3.1640625" style="56" customWidth="1"/>
    <col min="16139" max="16139" width="8.83203125" style="56" customWidth="1"/>
    <col min="16140" max="16140" width="14.83203125" style="56" customWidth="1"/>
    <col min="16141" max="16142" width="6.5" style="56" customWidth="1"/>
    <col min="16143" max="16143" width="14.83203125" style="56" customWidth="1"/>
    <col min="16144" max="16145" width="11.5" style="56" customWidth="1"/>
    <col min="16146" max="16146" width="6.1640625" style="56" customWidth="1"/>
    <col min="16147" max="16147" width="22.83203125" style="56" customWidth="1"/>
    <col min="16148" max="16148" width="11.5" style="56" customWidth="1"/>
    <col min="16149" max="16149" width="13.83203125" style="56" customWidth="1"/>
    <col min="16150" max="16150" width="5.83203125" style="56" customWidth="1"/>
    <col min="16151" max="16151" width="15.5" style="56" customWidth="1"/>
    <col min="16152" max="16384" width="11.5" style="56"/>
  </cols>
  <sheetData>
    <row r="1" spans="1:34" ht="8" customHeight="1">
      <c r="Q1" s="91"/>
      <c r="R1" s="91"/>
    </row>
    <row r="2" spans="1:34" ht="5" customHeight="1" thickBot="1">
      <c r="Q2" s="89"/>
      <c r="R2" s="89"/>
    </row>
    <row r="3" spans="1:34" s="57" customFormat="1" ht="17" customHeight="1">
      <c r="A3" s="472"/>
      <c r="B3" s="576" t="s">
        <v>115</v>
      </c>
      <c r="C3" s="577"/>
      <c r="D3" s="577"/>
      <c r="E3" s="577"/>
      <c r="F3" s="577"/>
      <c r="G3" s="577"/>
      <c r="H3" s="577"/>
      <c r="I3" s="577"/>
      <c r="J3" s="578"/>
      <c r="K3" s="95"/>
      <c r="L3" s="58"/>
      <c r="M3" s="58"/>
      <c r="N3" s="92"/>
      <c r="O3" s="93"/>
      <c r="Q3" s="90"/>
      <c r="R3" s="90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301"/>
    </row>
    <row r="4" spans="1:34" ht="6" customHeight="1" thickBot="1">
      <c r="B4" s="579"/>
      <c r="C4" s="580"/>
      <c r="D4" s="580"/>
      <c r="E4" s="580"/>
      <c r="F4" s="580"/>
      <c r="G4" s="580"/>
      <c r="H4" s="580"/>
      <c r="I4" s="580"/>
      <c r="J4" s="581"/>
      <c r="K4" s="95"/>
      <c r="L4" s="58"/>
      <c r="M4" s="58"/>
      <c r="N4" s="93"/>
      <c r="O4" s="93"/>
      <c r="P4" s="58"/>
      <c r="Q4" s="59"/>
      <c r="R4" s="59"/>
    </row>
    <row r="5" spans="1:34" ht="15" customHeight="1">
      <c r="B5" s="582" t="s">
        <v>283</v>
      </c>
      <c r="C5" s="583"/>
      <c r="D5" s="583"/>
      <c r="E5" s="583"/>
      <c r="F5" s="583" t="s">
        <v>27</v>
      </c>
      <c r="G5" s="583"/>
      <c r="H5" s="583"/>
      <c r="I5" s="583"/>
      <c r="J5" s="589"/>
      <c r="K5" s="584" t="s">
        <v>142</v>
      </c>
      <c r="L5" s="585"/>
      <c r="M5" s="585"/>
      <c r="N5" s="585" t="s">
        <v>365</v>
      </c>
      <c r="O5" s="585"/>
      <c r="P5" s="588"/>
      <c r="Q5" s="345" t="s">
        <v>143</v>
      </c>
      <c r="R5" s="92"/>
    </row>
    <row r="6" spans="1:34" ht="17" customHeight="1" thickBot="1">
      <c r="B6" s="592" t="str">
        <f>IF(Start!$D$4="","Dr. Max Mustermann",Start!$D$4)</f>
        <v>Dr. Max Mustermann</v>
      </c>
      <c r="C6" s="593"/>
      <c r="D6" s="593"/>
      <c r="E6" s="593"/>
      <c r="F6" s="593" t="str">
        <f>Start!$D$8</f>
        <v>Ärztin/Arzt in Ausbildung_BSO1994</v>
      </c>
      <c r="G6" s="593"/>
      <c r="H6" s="593"/>
      <c r="I6" s="593"/>
      <c r="J6" s="594"/>
      <c r="K6" s="590">
        <f>IF(SUM(N14:O44,L13:L44,AA51:AD51,AA52:AB52)=0,Datenblatt!J111,SUM(N14:O44,L13:L44,AA51:AD51,AA52:AB52,AH51:AH52))</f>
        <v>211.20000000000002</v>
      </c>
      <c r="L6" s="591"/>
      <c r="M6" s="591"/>
      <c r="N6" s="586">
        <f>COUNTIF(D14:E44,"ND")+COUNTIF(D14:E44,"ND12,5")</f>
        <v>0</v>
      </c>
      <c r="O6" s="586"/>
      <c r="P6" s="587"/>
      <c r="Q6" s="346">
        <f>IF(OR(Start!$D$10="",Start!$E$10=""),"",IF(Start!$D$8=Gehalt!$K$32,VLOOKUP($H$8,Gehalt!$A$4:$I$22,3,FALSE),IF(Start!$D$8=Gehalt!$K$33,VLOOKUP($H$8,Gehalt!$A$4:$I$22,4,FALSE),IF(Start!$D$8=Gehalt!$K$34,VLOOKUP($H$8,Gehalt!$A$4:$I$22,5,FALSE),IF(Start!$D$8=Gehalt!$K$35,VLOOKUP($H$8,Gehalt!$A$4:$I$22,6,FALSE),IF(Start!$D$8=Gehalt!$K$36,VLOOKUP($H$8,Gehalt!$A$4:$I$22,7,FALSE),IF(Start!$D$8=Gehalt!$K$37,VLOOKUP($H$8,Gehalt!$A$4:$I$22,6,FALSE),IF(Start!$D$8=Gehalt!$K$38,VLOOKUP($H$8,Gehalt!$A$4:$I$22,8,FALSE),IF(Start!$D$8=Gehalt!$K$39,VLOOKUP($H$8,Gehalt!$A$4:$I$22,8,FALSE),IF(Start!$D$8=Gehalt!$K$40,VLOOKUP($H$8,Gehalt!$A$4:$I$22,9,FALSE),IF(Start!$D$8=Gehalt!$K$41,VLOOKUP($H$8,Gehalt!$A$4:$I$22,9,FALSE))))))))))))</f>
        <v>5365.31</v>
      </c>
      <c r="R6" s="92"/>
      <c r="S6" s="92"/>
    </row>
    <row r="7" spans="1:34" ht="15" customHeight="1">
      <c r="B7" s="582" t="s">
        <v>26</v>
      </c>
      <c r="C7" s="583"/>
      <c r="D7" s="108" t="s">
        <v>25</v>
      </c>
      <c r="E7" s="583" t="s">
        <v>43</v>
      </c>
      <c r="F7" s="583"/>
      <c r="G7" s="583"/>
      <c r="H7" s="583" t="s">
        <v>91</v>
      </c>
      <c r="I7" s="583"/>
      <c r="J7" s="589"/>
      <c r="K7" s="584" t="s">
        <v>80</v>
      </c>
      <c r="L7" s="585"/>
      <c r="M7" s="585"/>
      <c r="N7" s="585" t="s">
        <v>81</v>
      </c>
      <c r="O7" s="585"/>
      <c r="P7" s="588"/>
      <c r="Q7" s="345" t="s">
        <v>144</v>
      </c>
      <c r="R7" s="191"/>
      <c r="S7" s="101"/>
      <c r="U7" s="242"/>
      <c r="AA7" s="242"/>
    </row>
    <row r="8" spans="1:34" s="59" customFormat="1" ht="17" customHeight="1" thickBot="1">
      <c r="A8" s="471"/>
      <c r="B8" s="595">
        <f>DATE($D$8,12,1)</f>
        <v>45627</v>
      </c>
      <c r="C8" s="596"/>
      <c r="D8" s="349">
        <f>Start!$D$2</f>
        <v>2024</v>
      </c>
      <c r="E8" s="601">
        <f>($K$6)/((VLOOKUP($B$8,Datenblatt!$A$100:$G$112,7,FALSE)*0.2)-(0.2*$D$59))</f>
        <v>48</v>
      </c>
      <c r="F8" s="601"/>
      <c r="G8" s="601"/>
      <c r="H8" s="602">
        <f>IF(OR(Start!$D$10="",Start!$E$10=""),"",IF(($C$14&lt;Start!$D$10),Start!$E$10,VLOOKUP(Start!$E$10,Gehalt!$A$4:$B$22,2,FALSE)))</f>
        <v>4</v>
      </c>
      <c r="I8" s="602"/>
      <c r="J8" s="603"/>
      <c r="K8" s="597">
        <f>SUM(M13:M44)</f>
        <v>0</v>
      </c>
      <c r="L8" s="598"/>
      <c r="M8" s="598"/>
      <c r="N8" s="591">
        <f>VLOOKUP($B$8,Datenblatt!A100:F112,6,FALSE)</f>
        <v>160</v>
      </c>
      <c r="O8" s="591"/>
      <c r="P8" s="599"/>
      <c r="Q8" s="346">
        <f ca="1">IF($L$50="","",SUM($L$50:$L$59))</f>
        <v>5365.31</v>
      </c>
      <c r="R8" s="100"/>
      <c r="S8" s="101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302"/>
    </row>
    <row r="9" spans="1:34" s="60" customFormat="1" ht="4.25" customHeight="1">
      <c r="A9" s="473"/>
      <c r="B9" s="559" t="s">
        <v>116</v>
      </c>
      <c r="C9" s="560"/>
      <c r="D9" s="565" t="s">
        <v>124</v>
      </c>
      <c r="E9" s="565" t="s">
        <v>174</v>
      </c>
      <c r="F9" s="568" t="s">
        <v>79</v>
      </c>
      <c r="G9" s="569"/>
      <c r="H9" s="568" t="s">
        <v>109</v>
      </c>
      <c r="I9" s="569"/>
      <c r="J9" s="565" t="s">
        <v>117</v>
      </c>
      <c r="K9" s="556" t="s">
        <v>82</v>
      </c>
      <c r="L9" s="556" t="s">
        <v>130</v>
      </c>
      <c r="M9" s="556" t="s">
        <v>114</v>
      </c>
      <c r="N9" s="556" t="s">
        <v>79</v>
      </c>
      <c r="O9" s="556" t="s">
        <v>109</v>
      </c>
      <c r="P9" s="553" t="s">
        <v>134</v>
      </c>
      <c r="Q9" s="535" t="s">
        <v>125</v>
      </c>
      <c r="R9" s="537" t="s">
        <v>173</v>
      </c>
      <c r="S9" s="573" t="s">
        <v>165</v>
      </c>
      <c r="T9" s="233"/>
      <c r="U9" s="234"/>
      <c r="V9" s="234"/>
      <c r="W9" s="234"/>
      <c r="X9" s="234"/>
      <c r="Y9" s="234"/>
      <c r="Z9" s="233"/>
      <c r="AA9" s="234"/>
      <c r="AB9" s="234"/>
      <c r="AC9" s="234"/>
      <c r="AD9" s="234"/>
      <c r="AE9" s="234"/>
      <c r="AF9" s="234"/>
      <c r="AG9" s="234"/>
      <c r="AH9" s="301"/>
    </row>
    <row r="10" spans="1:34" ht="14.5" customHeight="1">
      <c r="B10" s="561"/>
      <c r="C10" s="562"/>
      <c r="D10" s="566"/>
      <c r="E10" s="566"/>
      <c r="F10" s="570"/>
      <c r="G10" s="571"/>
      <c r="H10" s="570"/>
      <c r="I10" s="571"/>
      <c r="J10" s="566"/>
      <c r="K10" s="557"/>
      <c r="L10" s="557"/>
      <c r="M10" s="557"/>
      <c r="N10" s="557"/>
      <c r="O10" s="557"/>
      <c r="P10" s="554"/>
      <c r="Q10" s="535"/>
      <c r="R10" s="535"/>
      <c r="S10" s="574"/>
      <c r="T10" s="233"/>
      <c r="U10" s="572" t="s">
        <v>108</v>
      </c>
      <c r="V10" s="572"/>
      <c r="W10" s="572"/>
      <c r="X10" s="572"/>
      <c r="Y10" s="572"/>
      <c r="Z10" s="249"/>
      <c r="AA10" s="572" t="s">
        <v>168</v>
      </c>
      <c r="AB10" s="572"/>
      <c r="AC10" s="572"/>
      <c r="AD10" s="572"/>
      <c r="AE10" s="572"/>
      <c r="AF10" s="552" t="s">
        <v>232</v>
      </c>
      <c r="AG10" s="552" t="s">
        <v>233</v>
      </c>
    </row>
    <row r="11" spans="1:34" ht="13" customHeight="1" thickBot="1">
      <c r="B11" s="563"/>
      <c r="C11" s="564"/>
      <c r="D11" s="567"/>
      <c r="E11" s="567"/>
      <c r="F11" s="97" t="s">
        <v>14</v>
      </c>
      <c r="G11" s="98" t="s">
        <v>15</v>
      </c>
      <c r="H11" s="97" t="s">
        <v>14</v>
      </c>
      <c r="I11" s="98" t="s">
        <v>15</v>
      </c>
      <c r="J11" s="567"/>
      <c r="K11" s="558"/>
      <c r="L11" s="558"/>
      <c r="M11" s="558"/>
      <c r="N11" s="558"/>
      <c r="O11" s="558"/>
      <c r="P11" s="555"/>
      <c r="Q11" s="536"/>
      <c r="R11" s="536"/>
      <c r="S11" s="575"/>
      <c r="T11" s="109"/>
      <c r="U11" s="245" t="s">
        <v>105</v>
      </c>
      <c r="V11" s="246" t="s">
        <v>106</v>
      </c>
      <c r="W11" s="247" t="s">
        <v>107</v>
      </c>
      <c r="X11" s="246" t="s">
        <v>176</v>
      </c>
      <c r="Y11" s="246" t="s">
        <v>175</v>
      </c>
      <c r="Z11" s="248"/>
      <c r="AA11" s="245" t="s">
        <v>105</v>
      </c>
      <c r="AB11" s="246" t="s">
        <v>106</v>
      </c>
      <c r="AC11" s="246" t="s">
        <v>176</v>
      </c>
      <c r="AD11" s="246" t="s">
        <v>175</v>
      </c>
      <c r="AE11" s="245" t="s">
        <v>229</v>
      </c>
      <c r="AF11" s="552"/>
      <c r="AG11" s="552"/>
      <c r="AH11" s="246" t="s">
        <v>262</v>
      </c>
    </row>
    <row r="12" spans="1:34" ht="0.25" customHeight="1">
      <c r="B12" s="61"/>
      <c r="C12" s="61"/>
      <c r="D12" s="62"/>
      <c r="E12" s="65"/>
      <c r="F12" s="63"/>
      <c r="G12" s="63"/>
      <c r="H12" s="63"/>
      <c r="I12" s="63"/>
      <c r="J12" s="64"/>
      <c r="K12" s="64"/>
      <c r="L12" s="65"/>
      <c r="M12" s="65"/>
      <c r="N12" s="65"/>
      <c r="O12" s="65"/>
      <c r="P12" s="65"/>
      <c r="S12" s="96"/>
      <c r="T12" s="235"/>
      <c r="U12" s="236"/>
      <c r="V12" s="236"/>
      <c r="Z12" s="236"/>
      <c r="AA12" s="236"/>
      <c r="AB12" s="236"/>
      <c r="AH12" s="303"/>
    </row>
    <row r="13" spans="1:34" ht="13" customHeight="1">
      <c r="A13" s="89" t="str">
        <f>IF(ISERROR(VLOOKUP(C13,Datenblatt!$B$84:$B$97,1,FALSE)),"","Ft")</f>
        <v/>
      </c>
      <c r="B13" s="397">
        <f t="shared" ref="B13:B44" si="0">C13</f>
        <v>45626</v>
      </c>
      <c r="C13" s="149">
        <f>C14-1</f>
        <v>45626</v>
      </c>
      <c r="D13" s="153" t="str">
        <f>IF(November!D$43="","",November!D$43)</f>
        <v/>
      </c>
      <c r="E13" s="150" t="str">
        <f>IF(November!E$43="","",November!E$43)</f>
        <v/>
      </c>
      <c r="F13" s="150"/>
      <c r="G13" s="150"/>
      <c r="H13" s="150"/>
      <c r="I13" s="150"/>
      <c r="J13" s="252"/>
      <c r="K13" s="252"/>
      <c r="L13" s="170" t="str">
        <f>IF(D13="ND",9,IF(D13="ND12,5",8.5,""))</f>
        <v/>
      </c>
      <c r="M13" s="170" t="str">
        <f>IF(D13="ND",9,IF(D13="ND12,5",8.5,""))</f>
        <v/>
      </c>
      <c r="N13" s="600" t="str">
        <f>IF(OR(D13="ND",D13="ND12,5"),"Übertrag Vormonat","")</f>
        <v/>
      </c>
      <c r="O13" s="600"/>
      <c r="P13" s="193"/>
      <c r="Q13" s="174"/>
      <c r="R13" s="151"/>
      <c r="S13" s="152"/>
      <c r="T13" s="205"/>
      <c r="U13" s="206"/>
      <c r="V13" s="207"/>
      <c r="W13" s="207"/>
      <c r="X13" s="253"/>
      <c r="Y13" s="253"/>
      <c r="Z13" s="111" t="str">
        <f t="shared" ref="Z13:Z44" si="1">IF(E13="ND",25,IF(E13="ND12,5",12.5,""))</f>
        <v/>
      </c>
      <c r="AA13" s="206"/>
      <c r="AB13" s="208"/>
      <c r="AC13" s="208"/>
      <c r="AD13" s="208"/>
      <c r="AE13" s="208"/>
      <c r="AF13" s="112"/>
      <c r="AG13" s="112"/>
      <c r="AH13" s="304"/>
    </row>
    <row r="14" spans="1:34" ht="13" customHeight="1">
      <c r="A14" s="89" t="str">
        <f>IF(ISERROR(VLOOKUP(C14,Datenblatt!$B$84:$B$97,1,FALSE)),"","Ft")</f>
        <v/>
      </c>
      <c r="B14" s="84">
        <f t="shared" si="0"/>
        <v>45627</v>
      </c>
      <c r="C14" s="85">
        <f>DATE($D$8,MONTH(B$8),1)</f>
        <v>45627</v>
      </c>
      <c r="D14" s="67"/>
      <c r="E14" s="67"/>
      <c r="F14" s="68"/>
      <c r="G14" s="69"/>
      <c r="H14" s="68"/>
      <c r="I14" s="68"/>
      <c r="J14" s="99"/>
      <c r="K14" s="21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20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10" t="str">
        <f>IF(D14="","",IF(E13="ND",VLOOKUP(D14,Datenblatt!$A$2:$C$31,3,FALSE)-1,IF(E13="ND12,5",VLOOKUP(D14,Datenblatt!$A$2:$C$31,3,FALSE)-0.5,VLOOKUP(D14,Datenblatt!$A$2:$C$31,3,FALSE))))</f>
        <v/>
      </c>
      <c r="N14" s="211" t="str">
        <f t="shared" ref="N14:N44" si="2">IF(AND(F14="",G14=""),"",IF(OR(F14&gt;G14,AND(F14="",G14&gt;0),F14=G14),"ungültig",IF(OR(WEEKDAY(B14,2)=7,A14="Ft"),0,(G14-F14)*24)))</f>
        <v/>
      </c>
      <c r="O14" s="211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86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103" t="str">
        <f>IF(D14="","",VLOOKUP(D14,Datenblatt!$A$2:$D$31,4,FALSE))</f>
        <v/>
      </c>
      <c r="R14" s="104" t="str">
        <f>IF(E14="","",VLOOKUP(E14,Datenblatt!$E$2:$G$28,2,FALSE))</f>
        <v/>
      </c>
      <c r="S14" s="105"/>
      <c r="T14" s="111">
        <f>IF(K14="",0,K14)</f>
        <v>0</v>
      </c>
      <c r="U14" s="110"/>
      <c r="V14" s="112"/>
      <c r="W14" s="113"/>
      <c r="X14" s="254"/>
      <c r="Y14" s="254"/>
      <c r="Z14" s="111" t="str">
        <f t="shared" si="1"/>
        <v/>
      </c>
      <c r="AA14" s="214">
        <f>IF(E13="ND",IF(ISERROR(MATCH(D14,Datenblatt!$L$2:$L$18,0)),3,2),IF(E13="ND12,5",IF(ISERROR(MATCH(D14,Datenblatt!$L$2:$L$18,0)),2.5,2),0))</f>
        <v>0</v>
      </c>
      <c r="AB14" s="214">
        <f>IF((IF(E14="ND",14-IF(D14="",0,VLOOKUP(D14,Datenblatt!$L$2:$M$30,2,FALSE)),IF(E14="ND12,5",2,0)))&lt;0,0,(IF(E14="ND",14-IF(D14="",0,VLOOKUP(D14,Datenblatt!$L$2:$M$30,2,FALSE)),IF(E14="ND12,5",2,0))))</f>
        <v>0</v>
      </c>
      <c r="AC14" s="214">
        <f t="shared" ref="AC14:AC44" si="4">IF(OR(E14="ND",E14="ND12,5"),2,0)</f>
        <v>0</v>
      </c>
      <c r="AD14" s="214">
        <f t="shared" ref="AD14:AD44" si="5">IF(OR(E13="ND",E13="ND12,5"),6,0)</f>
        <v>0</v>
      </c>
      <c r="AE14" s="214">
        <f>IF(AND(E13="ND",AA14&gt;=2),1,IF(AND(E13="ND12,5",AA14&gt;=2),0.5,0))</f>
        <v>0</v>
      </c>
      <c r="AF14" s="112">
        <f>IF(OR(D14="ND",D14="ND12,5"),2-X14,0)</f>
        <v>0</v>
      </c>
      <c r="AG14" s="112">
        <f>IF(OR(D13="ND",D13="ND12,5"),6-Y14,0)</f>
        <v>0</v>
      </c>
      <c r="AH14" s="112">
        <f>IF(E14="",0,VLOOKUP(E14,Datenblatt!$E$2:$G$28,3,FALSE))</f>
        <v>0</v>
      </c>
    </row>
    <row r="15" spans="1:34" ht="13" customHeight="1">
      <c r="A15" s="89" t="str">
        <f>IF(ISERROR(VLOOKUP(C15,Datenblatt!$B$84:$B$97,1,FALSE)),"","Ft")</f>
        <v/>
      </c>
      <c r="B15" s="84">
        <f t="shared" si="0"/>
        <v>45628</v>
      </c>
      <c r="C15" s="86">
        <f t="shared" ref="C15:C41" si="6">C14+1</f>
        <v>45628</v>
      </c>
      <c r="D15" s="67"/>
      <c r="E15" s="67"/>
      <c r="F15" s="68"/>
      <c r="G15" s="69"/>
      <c r="H15" s="68"/>
      <c r="I15" s="68"/>
      <c r="J15" s="99"/>
      <c r="K15" s="21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20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10" t="str">
        <f>IF(D15="","",IF(E14="ND",VLOOKUP(D15,Datenblatt!$A$2:$C$31,3,FALSE)-1,IF(E14="ND12,5",VLOOKUP(D15,Datenblatt!$A$2:$C$31,3,FALSE)-0.5,VLOOKUP(D15,Datenblatt!$A$2:$C$31,3,FALSE))))</f>
        <v/>
      </c>
      <c r="N15" s="211" t="str">
        <f t="shared" si="2"/>
        <v/>
      </c>
      <c r="O15" s="211" t="str">
        <f t="shared" si="3"/>
        <v/>
      </c>
      <c r="P15" s="186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103" t="str">
        <f>IF(D15="","",VLOOKUP(D15,Datenblatt!$A$2:$D$31,4,FALSE))</f>
        <v/>
      </c>
      <c r="R15" s="104" t="str">
        <f>IF(E15="","",VLOOKUP(E15,Datenblatt!$E$2:$G$28,2,FALSE))</f>
        <v/>
      </c>
      <c r="S15" s="105"/>
      <c r="T15" s="111">
        <f t="shared" ref="T15:T44" si="7">IF(K15="",0,K15)</f>
        <v>0</v>
      </c>
      <c r="U15" s="114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12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12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54">
        <f t="array" ref="X15">IF(T15=0,0,IF((AND((ROW(T15)=MATCH(TRUE,($T$1:$T$44)&gt;0,0)))),IF(W15&gt;=6,W15-6,0),IF(W15&gt;=2,2,W15)))</f>
        <v>0</v>
      </c>
      <c r="Y15" s="254">
        <f t="array" ref="Y15">IF(T14=0,0,(IF((AND((ROW(T14)=MATCH(TRUE,($T$1:$T$44)&gt;0,0)))),IF(W14&gt;=6,6,W14),IF(W14&gt;=2,W14-2,0))))</f>
        <v>0</v>
      </c>
      <c r="Z15" s="111" t="str">
        <f t="shared" si="1"/>
        <v/>
      </c>
      <c r="AA15" s="214">
        <f>IF(E14="ND",IF(ISERROR(MATCH(D15,Datenblatt!$L$2:$L$18,0)),3,2),IF(E14="ND12,5",IF(ISERROR(MATCH(D15,Datenblatt!$L$2:$L$18,0)),2.5,2),0))</f>
        <v>0</v>
      </c>
      <c r="AB15" s="214">
        <f>IF((IF(E15="ND",14-IF(D15="",0,VLOOKUP(D15,Datenblatt!$L$2:$M$30,2,FALSE)),IF(E15="ND12,5",2,0)))&lt;0,0,(IF(E15="ND",14-IF(D15="",0,VLOOKUP(D15,Datenblatt!$L$2:$M$30,2,FALSE)),IF(E15="ND12,5",2,0))))</f>
        <v>0</v>
      </c>
      <c r="AC15" s="214">
        <f t="shared" si="4"/>
        <v>0</v>
      </c>
      <c r="AD15" s="214">
        <f t="shared" si="5"/>
        <v>0</v>
      </c>
      <c r="AE15" s="214">
        <f t="shared" ref="AE15:AE44" si="8">IF(AND(E14="ND",AA15&gt;=2),1,IF(AND(E14="ND12,5",AA15&gt;=2),0.5,0))</f>
        <v>0</v>
      </c>
      <c r="AF15" s="112">
        <f t="shared" ref="AF15:AF44" si="9">IF(OR(D15="ND",D15="ND12,5"),2-X15,0)</f>
        <v>0</v>
      </c>
      <c r="AG15" s="112">
        <f t="shared" ref="AG15:AG44" si="10">IF(OR(D14="ND",D14="ND12,5"),6-Y15,0)</f>
        <v>0</v>
      </c>
      <c r="AH15" s="112">
        <f>IF(E15="",0,VLOOKUP(E15,Datenblatt!$E$2:$G$28,3,FALSE))</f>
        <v>0</v>
      </c>
    </row>
    <row r="16" spans="1:34" ht="13" customHeight="1">
      <c r="A16" s="89" t="str">
        <f>IF(ISERROR(VLOOKUP(C16,Datenblatt!$B$84:$B$97,1,FALSE)),"","Ft")</f>
        <v/>
      </c>
      <c r="B16" s="84">
        <f t="shared" si="0"/>
        <v>45629</v>
      </c>
      <c r="C16" s="86">
        <f t="shared" si="6"/>
        <v>45629</v>
      </c>
      <c r="D16" s="67"/>
      <c r="E16" s="67"/>
      <c r="F16" s="68"/>
      <c r="G16" s="69"/>
      <c r="H16" s="68"/>
      <c r="I16" s="68"/>
      <c r="J16" s="99"/>
      <c r="K16" s="21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20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10" t="str">
        <f>IF(D16="","",IF(E15="ND",VLOOKUP(D16,Datenblatt!$A$2:$C$31,3,FALSE)-1,IF(E15="ND12,5",VLOOKUP(D16,Datenblatt!$A$2:$C$31,3,FALSE)-0.5,VLOOKUP(D16,Datenblatt!$A$2:$C$31,3,FALSE))))</f>
        <v/>
      </c>
      <c r="N16" s="211" t="str">
        <f t="shared" si="2"/>
        <v/>
      </c>
      <c r="O16" s="211" t="str">
        <f t="shared" si="3"/>
        <v/>
      </c>
      <c r="P16" s="186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103" t="str">
        <f>IF(D16="","",VLOOKUP(D16,Datenblatt!$A$2:$D$31,4,FALSE))</f>
        <v/>
      </c>
      <c r="R16" s="104" t="str">
        <f>IF(E16="","",VLOOKUP(E16,Datenblatt!$E$2:$G$28,2,FALSE))</f>
        <v/>
      </c>
      <c r="S16" s="105"/>
      <c r="T16" s="111">
        <f t="shared" si="7"/>
        <v>0</v>
      </c>
      <c r="U16" s="114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12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12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54">
        <f t="array" ref="X16">IF(T16=0,0,IF((AND((ROW(T16)=MATCH(TRUE,($T$1:$T$44)&gt;0,0)))),IF(W16&gt;=6,W16-6,0),IF(W16&gt;=2,2,W16)))</f>
        <v>0</v>
      </c>
      <c r="Y16" s="254">
        <f t="array" ref="Y16">IF(T15=0,0,(IF((AND((ROW(T15)=MATCH(TRUE,($T$1:$T$44)&gt;0,0)))),IF(W15&gt;=6,6,W15),IF(W15&gt;=2,W15-2,0))))</f>
        <v>0</v>
      </c>
      <c r="Z16" s="111" t="str">
        <f t="shared" si="1"/>
        <v/>
      </c>
      <c r="AA16" s="214">
        <f>IF(E15="ND",IF(ISERROR(MATCH(D16,Datenblatt!$L$2:$L$18,0)),3,2),IF(E15="ND12,5",IF(ISERROR(MATCH(D16,Datenblatt!$L$2:$L$18,0)),2.5,2),0))</f>
        <v>0</v>
      </c>
      <c r="AB16" s="214">
        <f>IF((IF(E16="ND",14-IF(D16="",0,VLOOKUP(D16,Datenblatt!$L$2:$M$30,2,FALSE)),IF(E16="ND12,5",2,0)))&lt;0,0,(IF(E16="ND",14-IF(D16="",0,VLOOKUP(D16,Datenblatt!$L$2:$M$30,2,FALSE)),IF(E16="ND12,5",2,0))))</f>
        <v>0</v>
      </c>
      <c r="AC16" s="214">
        <f t="shared" si="4"/>
        <v>0</v>
      </c>
      <c r="AD16" s="214">
        <f t="shared" si="5"/>
        <v>0</v>
      </c>
      <c r="AE16" s="214">
        <f t="shared" si="8"/>
        <v>0</v>
      </c>
      <c r="AF16" s="112">
        <f t="shared" si="9"/>
        <v>0</v>
      </c>
      <c r="AG16" s="112">
        <f t="shared" si="10"/>
        <v>0</v>
      </c>
      <c r="AH16" s="112">
        <f>IF(E16="",0,VLOOKUP(E16,Datenblatt!$E$2:$G$28,3,FALSE))</f>
        <v>0</v>
      </c>
    </row>
    <row r="17" spans="1:34" ht="13" customHeight="1">
      <c r="A17" s="89" t="str">
        <f>IF(ISERROR(VLOOKUP(C17,Datenblatt!$B$84:$B$97,1,FALSE)),"","Ft")</f>
        <v/>
      </c>
      <c r="B17" s="84">
        <f t="shared" si="0"/>
        <v>45630</v>
      </c>
      <c r="C17" s="86">
        <f t="shared" si="6"/>
        <v>45630</v>
      </c>
      <c r="D17" s="67"/>
      <c r="E17" s="67"/>
      <c r="F17" s="68"/>
      <c r="G17" s="69"/>
      <c r="H17" s="68"/>
      <c r="I17" s="68"/>
      <c r="J17" s="99"/>
      <c r="K17" s="21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20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10" t="str">
        <f>IF(D17="","",IF(E16="ND",VLOOKUP(D17,Datenblatt!$A$2:$C$31,3,FALSE)-1,IF(E16="ND12,5",VLOOKUP(D17,Datenblatt!$A$2:$C$31,3,FALSE)-0.5,VLOOKUP(D17,Datenblatt!$A$2:$C$31,3,FALSE))))</f>
        <v/>
      </c>
      <c r="N17" s="211" t="str">
        <f t="shared" si="2"/>
        <v/>
      </c>
      <c r="O17" s="211" t="str">
        <f t="shared" si="3"/>
        <v/>
      </c>
      <c r="P17" s="186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103" t="str">
        <f>IF(D17="","",VLOOKUP(D17,Datenblatt!$A$2:$D$31,4,FALSE))</f>
        <v/>
      </c>
      <c r="R17" s="104" t="str">
        <f>IF(E17="","",VLOOKUP(E17,Datenblatt!$E$2:$G$28,2,FALSE))</f>
        <v/>
      </c>
      <c r="S17" s="105"/>
      <c r="T17" s="111">
        <f t="shared" si="7"/>
        <v>0</v>
      </c>
      <c r="U17" s="114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12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12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54">
        <f t="array" ref="X17">IF(T17=0,0,IF((AND((ROW(T17)=MATCH(TRUE,($T$1:$T$44)&gt;0,0)))),IF(W17&gt;=6,W17-6,0),IF(W17&gt;=2,2,W17)))</f>
        <v>0</v>
      </c>
      <c r="Y17" s="254">
        <f t="array" ref="Y17">IF(T16=0,0,(IF((AND((ROW(T16)=MATCH(TRUE,($T$1:$T$44)&gt;0,0)))),IF(W16&gt;=6,6,W16),IF(W16&gt;=2,W16-2,0))))</f>
        <v>0</v>
      </c>
      <c r="Z17" s="111" t="str">
        <f t="shared" si="1"/>
        <v/>
      </c>
      <c r="AA17" s="214">
        <f>IF(E16="ND",IF(ISERROR(MATCH(D17,Datenblatt!$L$2:$L$18,0)),3,2),IF(E16="ND12,5",IF(ISERROR(MATCH(D17,Datenblatt!$L$2:$L$18,0)),2.5,2),0))</f>
        <v>0</v>
      </c>
      <c r="AB17" s="214">
        <f>IF((IF(E17="ND",14-IF(D17="",0,VLOOKUP(D17,Datenblatt!$L$2:$M$30,2,FALSE)),IF(E17="ND12,5",2,0)))&lt;0,0,(IF(E17="ND",14-IF(D17="",0,VLOOKUP(D17,Datenblatt!$L$2:$M$30,2,FALSE)),IF(E17="ND12,5",2,0))))</f>
        <v>0</v>
      </c>
      <c r="AC17" s="214">
        <f t="shared" si="4"/>
        <v>0</v>
      </c>
      <c r="AD17" s="214">
        <f t="shared" si="5"/>
        <v>0</v>
      </c>
      <c r="AE17" s="214">
        <f t="shared" si="8"/>
        <v>0</v>
      </c>
      <c r="AF17" s="112">
        <f t="shared" si="9"/>
        <v>0</v>
      </c>
      <c r="AG17" s="112">
        <f t="shared" si="10"/>
        <v>0</v>
      </c>
      <c r="AH17" s="112">
        <f>IF(E17="",0,VLOOKUP(E17,Datenblatt!$E$2:$G$28,3,FALSE))</f>
        <v>0</v>
      </c>
    </row>
    <row r="18" spans="1:34" ht="13" customHeight="1">
      <c r="A18" s="89" t="str">
        <f>IF(ISERROR(VLOOKUP(C18,Datenblatt!$B$84:$B$97,1,FALSE)),"","Ft")</f>
        <v/>
      </c>
      <c r="B18" s="84">
        <f t="shared" si="0"/>
        <v>45631</v>
      </c>
      <c r="C18" s="86">
        <f t="shared" si="6"/>
        <v>45631</v>
      </c>
      <c r="D18" s="67"/>
      <c r="E18" s="67"/>
      <c r="F18" s="68"/>
      <c r="G18" s="69"/>
      <c r="H18" s="68"/>
      <c r="I18" s="68"/>
      <c r="J18" s="99"/>
      <c r="K18" s="21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20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10" t="str">
        <f>IF(D18="","",IF(E17="ND",VLOOKUP(D18,Datenblatt!$A$2:$C$31,3,FALSE)-1,IF(E17="ND12,5",VLOOKUP(D18,Datenblatt!$A$2:$C$31,3,FALSE)-0.5,VLOOKUP(D18,Datenblatt!$A$2:$C$31,3,FALSE))))</f>
        <v/>
      </c>
      <c r="N18" s="211" t="str">
        <f t="shared" si="2"/>
        <v/>
      </c>
      <c r="O18" s="211" t="str">
        <f t="shared" si="3"/>
        <v/>
      </c>
      <c r="P18" s="186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103" t="str">
        <f>IF(D18="","",VLOOKUP(D18,Datenblatt!$A$2:$D$31,4,FALSE))</f>
        <v/>
      </c>
      <c r="R18" s="104" t="str">
        <f>IF(E18="","",VLOOKUP(E18,Datenblatt!$E$2:$G$28,2,FALSE))</f>
        <v/>
      </c>
      <c r="S18" s="105"/>
      <c r="T18" s="111">
        <f t="shared" si="7"/>
        <v>0</v>
      </c>
      <c r="U18" s="114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12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12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54">
        <f t="array" ref="X18">IF(T18=0,0,IF((AND((ROW(T18)=MATCH(TRUE,($T$1:$T$44)&gt;0,0)))),IF(W18&gt;=6,W18-6,0),IF(W18&gt;=2,2,W18)))</f>
        <v>0</v>
      </c>
      <c r="Y18" s="254">
        <f t="array" ref="Y18">IF(T17=0,0,(IF((AND((ROW(T17)=MATCH(TRUE,($T$1:$T$44)&gt;0,0)))),IF(W17&gt;=6,6,W17),IF(W17&gt;=2,W17-2,0))))</f>
        <v>0</v>
      </c>
      <c r="Z18" s="111" t="str">
        <f t="shared" si="1"/>
        <v/>
      </c>
      <c r="AA18" s="214">
        <f>IF(E17="ND",IF(ISERROR(MATCH(D18,Datenblatt!$L$2:$L$18,0)),3,2),IF(E17="ND12,5",IF(ISERROR(MATCH(D18,Datenblatt!$L$2:$L$18,0)),2.5,2),0))</f>
        <v>0</v>
      </c>
      <c r="AB18" s="214">
        <f>IF((IF(E18="ND",14-IF(D18="",0,VLOOKUP(D18,Datenblatt!$L$2:$M$30,2,FALSE)),IF(E18="ND12,5",2,0)))&lt;0,0,(IF(E18="ND",14-IF(D18="",0,VLOOKUP(D18,Datenblatt!$L$2:$M$30,2,FALSE)),IF(E18="ND12,5",2,0))))</f>
        <v>0</v>
      </c>
      <c r="AC18" s="214">
        <f t="shared" si="4"/>
        <v>0</v>
      </c>
      <c r="AD18" s="214">
        <f t="shared" si="5"/>
        <v>0</v>
      </c>
      <c r="AE18" s="214">
        <f t="shared" si="8"/>
        <v>0</v>
      </c>
      <c r="AF18" s="112">
        <f t="shared" si="9"/>
        <v>0</v>
      </c>
      <c r="AG18" s="112">
        <f t="shared" si="10"/>
        <v>0</v>
      </c>
      <c r="AH18" s="112">
        <f>IF(E18="",0,VLOOKUP(E18,Datenblatt!$E$2:$G$28,3,FALSE))</f>
        <v>0</v>
      </c>
    </row>
    <row r="19" spans="1:34" ht="13" customHeight="1">
      <c r="A19" s="89" t="str">
        <f>IF(ISERROR(VLOOKUP(C19,Datenblatt!$B$84:$B$97,1,FALSE)),"","Ft")</f>
        <v/>
      </c>
      <c r="B19" s="84">
        <f t="shared" si="0"/>
        <v>45632</v>
      </c>
      <c r="C19" s="86">
        <f t="shared" si="6"/>
        <v>45632</v>
      </c>
      <c r="D19" s="67"/>
      <c r="E19" s="67"/>
      <c r="F19" s="68"/>
      <c r="G19" s="69"/>
      <c r="H19" s="68"/>
      <c r="I19" s="68"/>
      <c r="J19" s="99"/>
      <c r="K19" s="21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20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10" t="str">
        <f>IF(D19="","",IF(E18="ND",VLOOKUP(D19,Datenblatt!$A$2:$C$31,3,FALSE)-1,IF(E18="ND12,5",VLOOKUP(D19,Datenblatt!$A$2:$C$31,3,FALSE)-0.5,VLOOKUP(D19,Datenblatt!$A$2:$C$31,3,FALSE))))</f>
        <v/>
      </c>
      <c r="N19" s="211" t="str">
        <f t="shared" si="2"/>
        <v/>
      </c>
      <c r="O19" s="211" t="str">
        <f t="shared" si="3"/>
        <v/>
      </c>
      <c r="P19" s="186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103" t="str">
        <f>IF(D19="","",VLOOKUP(D19,Datenblatt!$A$2:$D$31,4,FALSE))</f>
        <v/>
      </c>
      <c r="R19" s="104" t="str">
        <f>IF(E19="","",VLOOKUP(E19,Datenblatt!$E$2:$G$28,2,FALSE))</f>
        <v/>
      </c>
      <c r="S19" s="105"/>
      <c r="T19" s="111">
        <f t="shared" si="7"/>
        <v>0</v>
      </c>
      <c r="U19" s="114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12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12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54">
        <f t="array" ref="X19">IF(T19=0,0,IF((AND((ROW(T19)=MATCH(TRUE,($T$1:$T$44)&gt;0,0)))),IF(W19&gt;=6,W19-6,0),IF(W19&gt;=2,2,W19)))</f>
        <v>0</v>
      </c>
      <c r="Y19" s="254">
        <f t="array" ref="Y19">IF(T18=0,0,(IF((AND((ROW(T18)=MATCH(TRUE,($T$1:$T$44)&gt;0,0)))),IF(W18&gt;=6,6,W18),IF(W18&gt;=2,W18-2,0))))</f>
        <v>0</v>
      </c>
      <c r="Z19" s="111" t="str">
        <f t="shared" si="1"/>
        <v/>
      </c>
      <c r="AA19" s="214">
        <f>IF(E18="ND",IF(ISERROR(MATCH(D19,Datenblatt!$L$2:$L$18,0)),3,2),IF(E18="ND12,5",IF(ISERROR(MATCH(D19,Datenblatt!$L$2:$L$18,0)),2.5,2),0))</f>
        <v>0</v>
      </c>
      <c r="AB19" s="214">
        <f>IF((IF(E19="ND",14-IF(D19="",0,VLOOKUP(D19,Datenblatt!$L$2:$M$30,2,FALSE)),IF(E19="ND12,5",2,0)))&lt;0,0,(IF(E19="ND",14-IF(D19="",0,VLOOKUP(D19,Datenblatt!$L$2:$M$30,2,FALSE)),IF(E19="ND12,5",2,0))))</f>
        <v>0</v>
      </c>
      <c r="AC19" s="214">
        <f t="shared" si="4"/>
        <v>0</v>
      </c>
      <c r="AD19" s="214">
        <f t="shared" si="5"/>
        <v>0</v>
      </c>
      <c r="AE19" s="214">
        <f t="shared" si="8"/>
        <v>0</v>
      </c>
      <c r="AF19" s="112">
        <f t="shared" si="9"/>
        <v>0</v>
      </c>
      <c r="AG19" s="112">
        <f t="shared" si="10"/>
        <v>0</v>
      </c>
      <c r="AH19" s="112">
        <f>IF(E19="",0,VLOOKUP(E19,Datenblatt!$E$2:$G$28,3,FALSE))</f>
        <v>0</v>
      </c>
    </row>
    <row r="20" spans="1:34" ht="13" customHeight="1">
      <c r="A20" s="89" t="str">
        <f>IF(ISERROR(VLOOKUP(C20,Datenblatt!$B$84:$B$97,1,FALSE)),"","Ft")</f>
        <v/>
      </c>
      <c r="B20" s="84">
        <f t="shared" si="0"/>
        <v>45633</v>
      </c>
      <c r="C20" s="86">
        <f t="shared" si="6"/>
        <v>45633</v>
      </c>
      <c r="D20" s="67"/>
      <c r="E20" s="67"/>
      <c r="F20" s="68"/>
      <c r="G20" s="69"/>
      <c r="H20" s="68"/>
      <c r="I20" s="68"/>
      <c r="J20" s="99"/>
      <c r="K20" s="21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20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10" t="str">
        <f>IF(D20="","",IF(E19="ND",VLOOKUP(D20,Datenblatt!$A$2:$C$31,3,FALSE)-1,IF(E19="ND12,5",VLOOKUP(D20,Datenblatt!$A$2:$C$31,3,FALSE)-0.5,VLOOKUP(D20,Datenblatt!$A$2:$C$31,3,FALSE))))</f>
        <v/>
      </c>
      <c r="N20" s="211" t="str">
        <f t="shared" si="2"/>
        <v/>
      </c>
      <c r="O20" s="211" t="str">
        <f t="shared" si="3"/>
        <v/>
      </c>
      <c r="P20" s="186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103" t="str">
        <f>IF(D20="","",VLOOKUP(D20,Datenblatt!$A$2:$D$31,4,FALSE))</f>
        <v/>
      </c>
      <c r="R20" s="104" t="str">
        <f>IF(E20="","",VLOOKUP(E20,Datenblatt!$E$2:$G$28,2,FALSE))</f>
        <v/>
      </c>
      <c r="S20" s="105"/>
      <c r="T20" s="111">
        <f t="shared" si="7"/>
        <v>0</v>
      </c>
      <c r="U20" s="114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12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12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54">
        <f t="array" ref="X20">IF(T20=0,0,IF((AND((ROW(T20)=MATCH(TRUE,($T$1:$T$44)&gt;0,0)))),IF(W20&gt;=6,W20-6,0),IF(W20&gt;=2,2,W20)))</f>
        <v>0</v>
      </c>
      <c r="Y20" s="254">
        <f t="array" ref="Y20">IF(T19=0,0,(IF((AND((ROW(T19)=MATCH(TRUE,($T$1:$T$44)&gt;0,0)))),IF(W19&gt;=6,6,W19),IF(W19&gt;=2,W19-2,0))))</f>
        <v>0</v>
      </c>
      <c r="Z20" s="111" t="str">
        <f t="shared" si="1"/>
        <v/>
      </c>
      <c r="AA20" s="214">
        <f>IF(E19="ND",IF(ISERROR(MATCH(D20,Datenblatt!$L$2:$L$18,0)),3,2),IF(E19="ND12,5",IF(ISERROR(MATCH(D20,Datenblatt!$L$2:$L$18,0)),2.5,2),0))</f>
        <v>0</v>
      </c>
      <c r="AB20" s="214">
        <f>IF((IF(E20="ND",14-IF(D20="",0,VLOOKUP(D20,Datenblatt!$L$2:$M$30,2,FALSE)),IF(E20="ND12,5",2,0)))&lt;0,0,(IF(E20="ND",14-IF(D20="",0,VLOOKUP(D20,Datenblatt!$L$2:$M$30,2,FALSE)),IF(E20="ND12,5",2,0))))</f>
        <v>0</v>
      </c>
      <c r="AC20" s="214">
        <f t="shared" si="4"/>
        <v>0</v>
      </c>
      <c r="AD20" s="214">
        <f t="shared" si="5"/>
        <v>0</v>
      </c>
      <c r="AE20" s="214">
        <f t="shared" si="8"/>
        <v>0</v>
      </c>
      <c r="AF20" s="112">
        <f t="shared" si="9"/>
        <v>0</v>
      </c>
      <c r="AG20" s="112">
        <f t="shared" si="10"/>
        <v>0</v>
      </c>
      <c r="AH20" s="112">
        <f>IF(E20="",0,VLOOKUP(E20,Datenblatt!$E$2:$G$28,3,FALSE))</f>
        <v>0</v>
      </c>
    </row>
    <row r="21" spans="1:34" ht="13" customHeight="1">
      <c r="A21" s="89" t="str">
        <f>IF(ISERROR(VLOOKUP(C21,Datenblatt!$B$84:$B$97,1,FALSE)),"","Ft")</f>
        <v>Ft</v>
      </c>
      <c r="B21" s="84">
        <f t="shared" si="0"/>
        <v>45634</v>
      </c>
      <c r="C21" s="86">
        <f t="shared" si="6"/>
        <v>45634</v>
      </c>
      <c r="D21" s="67"/>
      <c r="E21" s="67"/>
      <c r="F21" s="68"/>
      <c r="G21" s="69"/>
      <c r="H21" s="68"/>
      <c r="I21" s="68"/>
      <c r="J21" s="99"/>
      <c r="K21" s="21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20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10" t="str">
        <f>IF(D21="","",IF(E20="ND",VLOOKUP(D21,Datenblatt!$A$2:$C$31,3,FALSE)-1,IF(E20="ND12,5",VLOOKUP(D21,Datenblatt!$A$2:$C$31,3,FALSE)-0.5,VLOOKUP(D21,Datenblatt!$A$2:$C$31,3,FALSE))))</f>
        <v/>
      </c>
      <c r="N21" s="211" t="str">
        <f t="shared" si="2"/>
        <v/>
      </c>
      <c r="O21" s="211">
        <f t="shared" si="3"/>
        <v>0</v>
      </c>
      <c r="P21" s="186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103" t="str">
        <f>IF(D21="","",VLOOKUP(D21,Datenblatt!$A$2:$D$31,4,FALSE))</f>
        <v/>
      </c>
      <c r="R21" s="104" t="str">
        <f>IF(E21="","",VLOOKUP(E21,Datenblatt!$E$2:$G$28,2,FALSE))</f>
        <v/>
      </c>
      <c r="S21" s="105"/>
      <c r="T21" s="111">
        <f t="shared" si="7"/>
        <v>0</v>
      </c>
      <c r="U21" s="114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12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12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54">
        <f t="array" ref="X21">IF(T21=0,0,IF((AND((ROW(T21)=MATCH(TRUE,($T$1:$T$44)&gt;0,0)))),IF(W21&gt;=6,W21-6,0),IF(W21&gt;=2,2,W21)))</f>
        <v>0</v>
      </c>
      <c r="Y21" s="254">
        <f t="array" ref="Y21">IF(T20=0,0,(IF((AND((ROW(T20)=MATCH(TRUE,($T$1:$T$44)&gt;0,0)))),IF(W20&gt;=6,6,W20),IF(W20&gt;=2,W20-2,0))))</f>
        <v>0</v>
      </c>
      <c r="Z21" s="111" t="str">
        <f t="shared" si="1"/>
        <v/>
      </c>
      <c r="AA21" s="214">
        <f>IF(E20="ND",IF(ISERROR(MATCH(D21,Datenblatt!$L$2:$L$18,0)),3,2),IF(E20="ND12,5",IF(ISERROR(MATCH(D21,Datenblatt!$L$2:$L$18,0)),2.5,2),0))</f>
        <v>0</v>
      </c>
      <c r="AB21" s="214">
        <f>IF((IF(E21="ND",14-IF(D21="",0,VLOOKUP(D21,Datenblatt!$L$2:$M$30,2,FALSE)),IF(E21="ND12,5",2,0)))&lt;0,0,(IF(E21="ND",14-IF(D21="",0,VLOOKUP(D21,Datenblatt!$L$2:$M$30,2,FALSE)),IF(E21="ND12,5",2,0))))</f>
        <v>0</v>
      </c>
      <c r="AC21" s="214">
        <f t="shared" si="4"/>
        <v>0</v>
      </c>
      <c r="AD21" s="214">
        <f t="shared" si="5"/>
        <v>0</v>
      </c>
      <c r="AE21" s="214">
        <f t="shared" si="8"/>
        <v>0</v>
      </c>
      <c r="AF21" s="112">
        <f t="shared" si="9"/>
        <v>0</v>
      </c>
      <c r="AG21" s="112">
        <f t="shared" si="10"/>
        <v>0</v>
      </c>
      <c r="AH21" s="112">
        <f>IF(E21="",0,VLOOKUP(E21,Datenblatt!$E$2:$G$28,3,FALSE))</f>
        <v>0</v>
      </c>
    </row>
    <row r="22" spans="1:34" ht="13" customHeight="1">
      <c r="A22" s="89" t="str">
        <f>IF(ISERROR(VLOOKUP(C22,Datenblatt!$B$84:$B$97,1,FALSE)),"","Ft")</f>
        <v/>
      </c>
      <c r="B22" s="84">
        <f t="shared" si="0"/>
        <v>45635</v>
      </c>
      <c r="C22" s="86">
        <f t="shared" si="6"/>
        <v>45635</v>
      </c>
      <c r="D22" s="67"/>
      <c r="E22" s="67"/>
      <c r="F22" s="68"/>
      <c r="G22" s="69"/>
      <c r="H22" s="68"/>
      <c r="I22" s="68"/>
      <c r="J22" s="99"/>
      <c r="K22" s="21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20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10" t="str">
        <f>IF(D22="","",IF(E21="ND",VLOOKUP(D22,Datenblatt!$A$2:$C$31,3,FALSE)-1,IF(E21="ND12,5",VLOOKUP(D22,Datenblatt!$A$2:$C$31,3,FALSE)-0.5,VLOOKUP(D22,Datenblatt!$A$2:$C$31,3,FALSE))))</f>
        <v/>
      </c>
      <c r="N22" s="211" t="str">
        <f t="shared" si="2"/>
        <v/>
      </c>
      <c r="O22" s="211" t="str">
        <f t="shared" si="3"/>
        <v/>
      </c>
      <c r="P22" s="186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103" t="str">
        <f>IF(D22="","",VLOOKUP(D22,Datenblatt!$A$2:$D$31,4,FALSE))</f>
        <v/>
      </c>
      <c r="R22" s="104" t="str">
        <f>IF(E22="","",VLOOKUP(E22,Datenblatt!$E$2:$G$28,2,FALSE))</f>
        <v/>
      </c>
      <c r="S22" s="105"/>
      <c r="T22" s="111">
        <f t="shared" si="7"/>
        <v>0</v>
      </c>
      <c r="U22" s="114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12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12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54">
        <f t="array" ref="X22">IF(T22=0,0,IF((AND((ROW(T22)=MATCH(TRUE,($T$1:$T$44)&gt;0,0)))),IF(W22&gt;=6,W22-6,0),IF(W22&gt;=2,2,W22)))</f>
        <v>0</v>
      </c>
      <c r="Y22" s="254">
        <f t="array" ref="Y22">IF(T21=0,0,(IF((AND((ROW(T21)=MATCH(TRUE,($T$1:$T$44)&gt;0,0)))),IF(W21&gt;=6,6,W21),IF(W21&gt;=2,W21-2,0))))</f>
        <v>0</v>
      </c>
      <c r="Z22" s="111" t="str">
        <f t="shared" si="1"/>
        <v/>
      </c>
      <c r="AA22" s="214">
        <f>IF(E21="ND",IF(ISERROR(MATCH(D22,Datenblatt!$L$2:$L$18,0)),3,2),IF(E21="ND12,5",IF(ISERROR(MATCH(D22,Datenblatt!$L$2:$L$18,0)),2.5,2),0))</f>
        <v>0</v>
      </c>
      <c r="AB22" s="214">
        <f>IF((IF(E22="ND",14-IF(D22="",0,VLOOKUP(D22,Datenblatt!$L$2:$M$30,2,FALSE)),IF(E22="ND12,5",2,0)))&lt;0,0,(IF(E22="ND",14-IF(D22="",0,VLOOKUP(D22,Datenblatt!$L$2:$M$30,2,FALSE)),IF(E22="ND12,5",2,0))))</f>
        <v>0</v>
      </c>
      <c r="AC22" s="214">
        <f t="shared" si="4"/>
        <v>0</v>
      </c>
      <c r="AD22" s="214">
        <f t="shared" si="5"/>
        <v>0</v>
      </c>
      <c r="AE22" s="214">
        <f t="shared" si="8"/>
        <v>0</v>
      </c>
      <c r="AF22" s="112">
        <f t="shared" si="9"/>
        <v>0</v>
      </c>
      <c r="AG22" s="112">
        <f t="shared" si="10"/>
        <v>0</v>
      </c>
      <c r="AH22" s="112">
        <f>IF(E22="",0,VLOOKUP(E22,Datenblatt!$E$2:$G$28,3,FALSE))</f>
        <v>0</v>
      </c>
    </row>
    <row r="23" spans="1:34" ht="13" customHeight="1">
      <c r="A23" s="89" t="str">
        <f>IF(ISERROR(VLOOKUP(C23,Datenblatt!$B$84:$B$97,1,FALSE)),"","Ft")</f>
        <v/>
      </c>
      <c r="B23" s="84">
        <f t="shared" si="0"/>
        <v>45636</v>
      </c>
      <c r="C23" s="86">
        <f t="shared" si="6"/>
        <v>45636</v>
      </c>
      <c r="D23" s="67"/>
      <c r="E23" s="67"/>
      <c r="F23" s="68"/>
      <c r="G23" s="69"/>
      <c r="H23" s="68"/>
      <c r="I23" s="68"/>
      <c r="J23" s="99"/>
      <c r="K23" s="21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20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10" t="str">
        <f>IF(D23="","",IF(E22="ND",VLOOKUP(D23,Datenblatt!$A$2:$C$31,3,FALSE)-1,IF(E22="ND12,5",VLOOKUP(D23,Datenblatt!$A$2:$C$31,3,FALSE)-0.5,VLOOKUP(D23,Datenblatt!$A$2:$C$31,3,FALSE))))</f>
        <v/>
      </c>
      <c r="N23" s="211" t="str">
        <f t="shared" si="2"/>
        <v/>
      </c>
      <c r="O23" s="211" t="str">
        <f t="shared" si="3"/>
        <v/>
      </c>
      <c r="P23" s="186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103" t="str">
        <f>IF(D23="","",VLOOKUP(D23,Datenblatt!$A$2:$D$31,4,FALSE))</f>
        <v/>
      </c>
      <c r="R23" s="104" t="str">
        <f>IF(E23="","",VLOOKUP(E23,Datenblatt!$E$2:$G$28,2,FALSE))</f>
        <v/>
      </c>
      <c r="S23" s="105"/>
      <c r="T23" s="111">
        <f t="shared" si="7"/>
        <v>0</v>
      </c>
      <c r="U23" s="114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12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12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54">
        <f t="array" ref="X23">IF(T23=0,0,IF((AND((ROW(T23)=MATCH(TRUE,($T$1:$T$44)&gt;0,0)))),IF(W23&gt;=6,W23-6,0),IF(W23&gt;=2,2,W23)))</f>
        <v>0</v>
      </c>
      <c r="Y23" s="254">
        <f t="array" ref="Y23">IF(T22=0,0,(IF((AND((ROW(T22)=MATCH(TRUE,($T$1:$T$44)&gt;0,0)))),IF(W22&gt;=6,6,W22),IF(W22&gt;=2,W22-2,0))))</f>
        <v>0</v>
      </c>
      <c r="Z23" s="111" t="str">
        <f t="shared" si="1"/>
        <v/>
      </c>
      <c r="AA23" s="214">
        <f>IF(E22="ND",IF(ISERROR(MATCH(D23,Datenblatt!$L$2:$L$18,0)),3,2),IF(E22="ND12,5",IF(ISERROR(MATCH(D23,Datenblatt!$L$2:$L$18,0)),2.5,2),0))</f>
        <v>0</v>
      </c>
      <c r="AB23" s="214">
        <f>IF((IF(E23="ND",14-IF(D23="",0,VLOOKUP(D23,Datenblatt!$L$2:$M$30,2,FALSE)),IF(E23="ND12,5",2,0)))&lt;0,0,(IF(E23="ND",14-IF(D23="",0,VLOOKUP(D23,Datenblatt!$L$2:$M$30,2,FALSE)),IF(E23="ND12,5",2,0))))</f>
        <v>0</v>
      </c>
      <c r="AC23" s="214">
        <f t="shared" si="4"/>
        <v>0</v>
      </c>
      <c r="AD23" s="214">
        <f t="shared" si="5"/>
        <v>0</v>
      </c>
      <c r="AE23" s="214">
        <f t="shared" si="8"/>
        <v>0</v>
      </c>
      <c r="AF23" s="112">
        <f t="shared" si="9"/>
        <v>0</v>
      </c>
      <c r="AG23" s="112">
        <f t="shared" si="10"/>
        <v>0</v>
      </c>
      <c r="AH23" s="112">
        <f>IF(E23="",0,VLOOKUP(E23,Datenblatt!$E$2:$G$28,3,FALSE))</f>
        <v>0</v>
      </c>
    </row>
    <row r="24" spans="1:34" ht="13" customHeight="1">
      <c r="A24" s="89" t="str">
        <f>IF(ISERROR(VLOOKUP(C24,Datenblatt!$B$84:$B$97,1,FALSE)),"","Ft")</f>
        <v/>
      </c>
      <c r="B24" s="84">
        <f t="shared" si="0"/>
        <v>45637</v>
      </c>
      <c r="C24" s="86">
        <f t="shared" si="6"/>
        <v>45637</v>
      </c>
      <c r="D24" s="67"/>
      <c r="E24" s="67"/>
      <c r="F24" s="68"/>
      <c r="G24" s="69"/>
      <c r="H24" s="68"/>
      <c r="I24" s="68"/>
      <c r="J24" s="99"/>
      <c r="K24" s="21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20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10" t="str">
        <f>IF(D24="","",IF(E23="ND",VLOOKUP(D24,Datenblatt!$A$2:$C$31,3,FALSE)-1,IF(E23="ND12,5",VLOOKUP(D24,Datenblatt!$A$2:$C$31,3,FALSE)-0.5,VLOOKUP(D24,Datenblatt!$A$2:$C$31,3,FALSE))))</f>
        <v/>
      </c>
      <c r="N24" s="211" t="str">
        <f t="shared" si="2"/>
        <v/>
      </c>
      <c r="O24" s="211" t="str">
        <f t="shared" si="3"/>
        <v/>
      </c>
      <c r="P24" s="186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103" t="str">
        <f>IF(D24="","",VLOOKUP(D24,Datenblatt!$A$2:$D$31,4,FALSE))</f>
        <v/>
      </c>
      <c r="R24" s="104" t="str">
        <f>IF(E24="","",VLOOKUP(E24,Datenblatt!$E$2:$G$28,2,FALSE))</f>
        <v/>
      </c>
      <c r="S24" s="105"/>
      <c r="T24" s="111">
        <f t="shared" si="7"/>
        <v>0</v>
      </c>
      <c r="U24" s="114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12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12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54">
        <f t="array" ref="X24">IF(T24=0,0,IF((AND((ROW(T24)=MATCH(TRUE,($T$1:$T$44)&gt;0,0)))),IF(W24&gt;=6,W24-6,0),IF(W24&gt;=2,2,W24)))</f>
        <v>0</v>
      </c>
      <c r="Y24" s="254">
        <f t="array" ref="Y24">IF(T23=0,0,(IF((AND((ROW(T23)=MATCH(TRUE,($T$1:$T$44)&gt;0,0)))),IF(W23&gt;=6,6,W23),IF(W23&gt;=2,W23-2,0))))</f>
        <v>0</v>
      </c>
      <c r="Z24" s="111" t="str">
        <f t="shared" si="1"/>
        <v/>
      </c>
      <c r="AA24" s="214">
        <f>IF(E23="ND",IF(ISERROR(MATCH(D24,Datenblatt!$L$2:$L$18,0)),3,2),IF(E23="ND12,5",IF(ISERROR(MATCH(D24,Datenblatt!$L$2:$L$18,0)),2.5,2),0))</f>
        <v>0</v>
      </c>
      <c r="AB24" s="214">
        <f>IF((IF(E24="ND",14-IF(D24="",0,VLOOKUP(D24,Datenblatt!$L$2:$M$30,2,FALSE)),IF(E24="ND12,5",2,0)))&lt;0,0,(IF(E24="ND",14-IF(D24="",0,VLOOKUP(D24,Datenblatt!$L$2:$M$30,2,FALSE)),IF(E24="ND12,5",2,0))))</f>
        <v>0</v>
      </c>
      <c r="AC24" s="214">
        <f t="shared" si="4"/>
        <v>0</v>
      </c>
      <c r="AD24" s="214">
        <f t="shared" si="5"/>
        <v>0</v>
      </c>
      <c r="AE24" s="214">
        <f t="shared" si="8"/>
        <v>0</v>
      </c>
      <c r="AF24" s="112">
        <f t="shared" si="9"/>
        <v>0</v>
      </c>
      <c r="AG24" s="112">
        <f t="shared" si="10"/>
        <v>0</v>
      </c>
      <c r="AH24" s="112">
        <f>IF(E24="",0,VLOOKUP(E24,Datenblatt!$E$2:$G$28,3,FALSE))</f>
        <v>0</v>
      </c>
    </row>
    <row r="25" spans="1:34" ht="13" customHeight="1">
      <c r="A25" s="89" t="str">
        <f>IF(ISERROR(VLOOKUP(C25,Datenblatt!$B$84:$B$97,1,FALSE)),"","Ft")</f>
        <v/>
      </c>
      <c r="B25" s="84">
        <f t="shared" si="0"/>
        <v>45638</v>
      </c>
      <c r="C25" s="86">
        <f t="shared" si="6"/>
        <v>45638</v>
      </c>
      <c r="D25" s="67"/>
      <c r="E25" s="67"/>
      <c r="F25" s="68"/>
      <c r="G25" s="69"/>
      <c r="H25" s="68"/>
      <c r="I25" s="68"/>
      <c r="J25" s="99"/>
      <c r="K25" s="21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20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10" t="str">
        <f>IF(D25="","",IF(E24="ND",VLOOKUP(D25,Datenblatt!$A$2:$C$31,3,FALSE)-1,IF(E24="ND12,5",VLOOKUP(D25,Datenblatt!$A$2:$C$31,3,FALSE)-0.5,VLOOKUP(D25,Datenblatt!$A$2:$C$31,3,FALSE))))</f>
        <v/>
      </c>
      <c r="N25" s="211" t="str">
        <f t="shared" si="2"/>
        <v/>
      </c>
      <c r="O25" s="211" t="str">
        <f t="shared" si="3"/>
        <v/>
      </c>
      <c r="P25" s="186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103" t="str">
        <f>IF(D25="","",VLOOKUP(D25,Datenblatt!$A$2:$D$31,4,FALSE))</f>
        <v/>
      </c>
      <c r="R25" s="104" t="str">
        <f>IF(E25="","",VLOOKUP(E25,Datenblatt!$E$2:$G$28,2,FALSE))</f>
        <v/>
      </c>
      <c r="S25" s="105"/>
      <c r="T25" s="111">
        <f t="shared" si="7"/>
        <v>0</v>
      </c>
      <c r="U25" s="114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12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12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54">
        <f t="array" ref="X25">IF(T25=0,0,IF((AND((ROW(T25)=MATCH(TRUE,($T$1:$T$44)&gt;0,0)))),IF(W25&gt;=6,W25-6,0),IF(W25&gt;=2,2,W25)))</f>
        <v>0</v>
      </c>
      <c r="Y25" s="254">
        <f t="array" ref="Y25">IF(T24=0,0,(IF((AND((ROW(T24)=MATCH(TRUE,($T$1:$T$44)&gt;0,0)))),IF(W24&gt;=6,6,W24),IF(W24&gt;=2,W24-2,0))))</f>
        <v>0</v>
      </c>
      <c r="Z25" s="111" t="str">
        <f t="shared" si="1"/>
        <v/>
      </c>
      <c r="AA25" s="214">
        <f>IF(E24="ND",IF(ISERROR(MATCH(D25,Datenblatt!$L$2:$L$18,0)),3,2),IF(E24="ND12,5",IF(ISERROR(MATCH(D25,Datenblatt!$L$2:$L$18,0)),2.5,2),0))</f>
        <v>0</v>
      </c>
      <c r="AB25" s="214">
        <f>IF((IF(E25="ND",14-IF(D25="",0,VLOOKUP(D25,Datenblatt!$L$2:$M$30,2,FALSE)),IF(E25="ND12,5",2,0)))&lt;0,0,(IF(E25="ND",14-IF(D25="",0,VLOOKUP(D25,Datenblatt!$L$2:$M$30,2,FALSE)),IF(E25="ND12,5",2,0))))</f>
        <v>0</v>
      </c>
      <c r="AC25" s="214">
        <f t="shared" si="4"/>
        <v>0</v>
      </c>
      <c r="AD25" s="214">
        <f t="shared" si="5"/>
        <v>0</v>
      </c>
      <c r="AE25" s="214">
        <f t="shared" si="8"/>
        <v>0</v>
      </c>
      <c r="AF25" s="112">
        <f t="shared" si="9"/>
        <v>0</v>
      </c>
      <c r="AG25" s="112">
        <f t="shared" si="10"/>
        <v>0</v>
      </c>
      <c r="AH25" s="112">
        <f>IF(E25="",0,VLOOKUP(E25,Datenblatt!$E$2:$G$28,3,FALSE))</f>
        <v>0</v>
      </c>
    </row>
    <row r="26" spans="1:34" ht="13" customHeight="1">
      <c r="A26" s="89" t="str">
        <f>IF(ISERROR(VLOOKUP(C26,Datenblatt!$B$84:$B$97,1,FALSE)),"","Ft")</f>
        <v/>
      </c>
      <c r="B26" s="84">
        <f t="shared" si="0"/>
        <v>45639</v>
      </c>
      <c r="C26" s="86">
        <f t="shared" si="6"/>
        <v>45639</v>
      </c>
      <c r="D26" s="67"/>
      <c r="E26" s="67"/>
      <c r="F26" s="68"/>
      <c r="G26" s="69"/>
      <c r="H26" s="68"/>
      <c r="I26" s="68"/>
      <c r="J26" s="99"/>
      <c r="K26" s="21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20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10" t="str">
        <f>IF(D26="","",IF(E25="ND",VLOOKUP(D26,Datenblatt!$A$2:$C$31,3,FALSE)-1,IF(E25="ND12,5",VLOOKUP(D26,Datenblatt!$A$2:$C$31,3,FALSE)-0.5,VLOOKUP(D26,Datenblatt!$A$2:$C$31,3,FALSE))))</f>
        <v/>
      </c>
      <c r="N26" s="211" t="str">
        <f t="shared" si="2"/>
        <v/>
      </c>
      <c r="O26" s="211" t="str">
        <f t="shared" si="3"/>
        <v/>
      </c>
      <c r="P26" s="186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103" t="str">
        <f>IF(D26="","",VLOOKUP(D26,Datenblatt!$A$2:$D$31,4,FALSE))</f>
        <v/>
      </c>
      <c r="R26" s="104" t="str">
        <f>IF(E26="","",VLOOKUP(E26,Datenblatt!$E$2:$G$28,2,FALSE))</f>
        <v/>
      </c>
      <c r="S26" s="105"/>
      <c r="T26" s="111">
        <f t="shared" si="7"/>
        <v>0</v>
      </c>
      <c r="U26" s="114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12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12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54">
        <f t="array" ref="X26">IF(T26=0,0,IF((AND((ROW(T26)=MATCH(TRUE,($T$1:$T$44)&gt;0,0)))),IF(W26&gt;=6,W26-6,0),IF(W26&gt;=2,2,W26)))</f>
        <v>0</v>
      </c>
      <c r="Y26" s="254">
        <f t="array" ref="Y26">IF(T25=0,0,(IF((AND((ROW(T25)=MATCH(TRUE,($T$1:$T$44)&gt;0,0)))),IF(W25&gt;=6,6,W25),IF(W25&gt;=2,W25-2,0))))</f>
        <v>0</v>
      </c>
      <c r="Z26" s="111" t="str">
        <f t="shared" si="1"/>
        <v/>
      </c>
      <c r="AA26" s="214">
        <f>IF(E25="ND",IF(ISERROR(MATCH(D26,Datenblatt!$L$2:$L$18,0)),3,2),IF(E25="ND12,5",IF(ISERROR(MATCH(D26,Datenblatt!$L$2:$L$18,0)),2.5,2),0))</f>
        <v>0</v>
      </c>
      <c r="AB26" s="214">
        <f>IF((IF(E26="ND",14-IF(D26="",0,VLOOKUP(D26,Datenblatt!$L$2:$M$30,2,FALSE)),IF(E26="ND12,5",2,0)))&lt;0,0,(IF(E26="ND",14-IF(D26="",0,VLOOKUP(D26,Datenblatt!$L$2:$M$30,2,FALSE)),IF(E26="ND12,5",2,0))))</f>
        <v>0</v>
      </c>
      <c r="AC26" s="214">
        <f t="shared" si="4"/>
        <v>0</v>
      </c>
      <c r="AD26" s="214">
        <f t="shared" si="5"/>
        <v>0</v>
      </c>
      <c r="AE26" s="214">
        <f t="shared" si="8"/>
        <v>0</v>
      </c>
      <c r="AF26" s="112">
        <f t="shared" si="9"/>
        <v>0</v>
      </c>
      <c r="AG26" s="112">
        <f t="shared" si="10"/>
        <v>0</v>
      </c>
      <c r="AH26" s="112">
        <f>IF(E26="",0,VLOOKUP(E26,Datenblatt!$E$2:$G$28,3,FALSE))</f>
        <v>0</v>
      </c>
    </row>
    <row r="27" spans="1:34" ht="13" customHeight="1">
      <c r="A27" s="89" t="str">
        <f>IF(ISERROR(VLOOKUP(C27,Datenblatt!$B$84:$B$97,1,FALSE)),"","Ft")</f>
        <v/>
      </c>
      <c r="B27" s="84">
        <f t="shared" si="0"/>
        <v>45640</v>
      </c>
      <c r="C27" s="86">
        <f t="shared" si="6"/>
        <v>45640</v>
      </c>
      <c r="D27" s="67"/>
      <c r="E27" s="67"/>
      <c r="F27" s="68"/>
      <c r="G27" s="69"/>
      <c r="H27" s="68"/>
      <c r="I27" s="68"/>
      <c r="J27" s="99"/>
      <c r="K27" s="21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20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10" t="str">
        <f>IF(D27="","",IF(E26="ND",VLOOKUP(D27,Datenblatt!$A$2:$C$31,3,FALSE)-1,IF(E26="ND12,5",VLOOKUP(D27,Datenblatt!$A$2:$C$31,3,FALSE)-0.5,VLOOKUP(D27,Datenblatt!$A$2:$C$31,3,FALSE))))</f>
        <v/>
      </c>
      <c r="N27" s="211" t="str">
        <f t="shared" si="2"/>
        <v/>
      </c>
      <c r="O27" s="211" t="str">
        <f t="shared" si="3"/>
        <v/>
      </c>
      <c r="P27" s="186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103" t="str">
        <f>IF(D27="","",VLOOKUP(D27,Datenblatt!$A$2:$D$31,4,FALSE))</f>
        <v/>
      </c>
      <c r="R27" s="104" t="str">
        <f>IF(E27="","",VLOOKUP(E27,Datenblatt!$E$2:$G$28,2,FALSE))</f>
        <v/>
      </c>
      <c r="S27" s="105"/>
      <c r="T27" s="111">
        <f t="shared" si="7"/>
        <v>0</v>
      </c>
      <c r="U27" s="114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12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12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54">
        <f t="array" ref="X27">IF(T27=0,0,IF((AND((ROW(T27)=MATCH(TRUE,($T$1:$T$44)&gt;0,0)))),IF(W27&gt;=6,W27-6,0),IF(W27&gt;=2,2,W27)))</f>
        <v>0</v>
      </c>
      <c r="Y27" s="254">
        <f t="array" ref="Y27">IF(T26=0,0,(IF((AND((ROW(T26)=MATCH(TRUE,($T$1:$T$44)&gt;0,0)))),IF(W26&gt;=6,6,W26),IF(W26&gt;=2,W26-2,0))))</f>
        <v>0</v>
      </c>
      <c r="Z27" s="111" t="str">
        <f t="shared" si="1"/>
        <v/>
      </c>
      <c r="AA27" s="214">
        <f>IF(E26="ND",IF(ISERROR(MATCH(D27,Datenblatt!$L$2:$L$18,0)),3,2),IF(E26="ND12,5",IF(ISERROR(MATCH(D27,Datenblatt!$L$2:$L$18,0)),2.5,2),0))</f>
        <v>0</v>
      </c>
      <c r="AB27" s="214">
        <f>IF((IF(E27="ND",14-IF(D27="",0,VLOOKUP(D27,Datenblatt!$L$2:$M$30,2,FALSE)),IF(E27="ND12,5",2,0)))&lt;0,0,(IF(E27="ND",14-IF(D27="",0,VLOOKUP(D27,Datenblatt!$L$2:$M$30,2,FALSE)),IF(E27="ND12,5",2,0))))</f>
        <v>0</v>
      </c>
      <c r="AC27" s="214">
        <f t="shared" si="4"/>
        <v>0</v>
      </c>
      <c r="AD27" s="214">
        <f t="shared" si="5"/>
        <v>0</v>
      </c>
      <c r="AE27" s="214">
        <f t="shared" si="8"/>
        <v>0</v>
      </c>
      <c r="AF27" s="112">
        <f t="shared" si="9"/>
        <v>0</v>
      </c>
      <c r="AG27" s="112">
        <f t="shared" si="10"/>
        <v>0</v>
      </c>
      <c r="AH27" s="112">
        <f>IF(E27="",0,VLOOKUP(E27,Datenblatt!$E$2:$G$28,3,FALSE))</f>
        <v>0</v>
      </c>
    </row>
    <row r="28" spans="1:34" ht="13" customHeight="1">
      <c r="A28" s="89" t="str">
        <f>IF(ISERROR(VLOOKUP(C28,Datenblatt!$B$84:$B$97,1,FALSE)),"","Ft")</f>
        <v/>
      </c>
      <c r="B28" s="84">
        <f t="shared" si="0"/>
        <v>45641</v>
      </c>
      <c r="C28" s="86">
        <f t="shared" si="6"/>
        <v>45641</v>
      </c>
      <c r="D28" s="67"/>
      <c r="E28" s="67"/>
      <c r="F28" s="68"/>
      <c r="G28" s="69"/>
      <c r="H28" s="68"/>
      <c r="I28" s="68"/>
      <c r="J28" s="99"/>
      <c r="K28" s="21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20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10" t="str">
        <f>IF(D28="","",IF(E27="ND",VLOOKUP(D28,Datenblatt!$A$2:$C$31,3,FALSE)-1,IF(E27="ND12,5",VLOOKUP(D28,Datenblatt!$A$2:$C$31,3,FALSE)-0.5,VLOOKUP(D28,Datenblatt!$A$2:$C$31,3,FALSE))))</f>
        <v/>
      </c>
      <c r="N28" s="211" t="str">
        <f t="shared" si="2"/>
        <v/>
      </c>
      <c r="O28" s="211">
        <f t="shared" si="3"/>
        <v>0</v>
      </c>
      <c r="P28" s="186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103" t="str">
        <f>IF(D28="","",VLOOKUP(D28,Datenblatt!$A$2:$D$31,4,FALSE))</f>
        <v/>
      </c>
      <c r="R28" s="104" t="str">
        <f>IF(E28="","",VLOOKUP(E28,Datenblatt!$E$2:$G$28,2,FALSE))</f>
        <v/>
      </c>
      <c r="S28" s="105"/>
      <c r="T28" s="111">
        <f t="shared" si="7"/>
        <v>0</v>
      </c>
      <c r="U28" s="114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12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12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54">
        <f t="array" ref="X28">IF(T28=0,0,IF((AND((ROW(T28)=MATCH(TRUE,($T$1:$T$44)&gt;0,0)))),IF(W28&gt;=6,W28-6,0),IF(W28&gt;=2,2,W28)))</f>
        <v>0</v>
      </c>
      <c r="Y28" s="254">
        <f t="array" ref="Y28">IF(T27=0,0,(IF((AND((ROW(T27)=MATCH(TRUE,($T$1:$T$44)&gt;0,0)))),IF(W27&gt;=6,6,W27),IF(W27&gt;=2,W27-2,0))))</f>
        <v>0</v>
      </c>
      <c r="Z28" s="111" t="str">
        <f t="shared" si="1"/>
        <v/>
      </c>
      <c r="AA28" s="214">
        <f>IF(E27="ND",IF(ISERROR(MATCH(D28,Datenblatt!$L$2:$L$18,0)),3,2),IF(E27="ND12,5",IF(ISERROR(MATCH(D28,Datenblatt!$L$2:$L$18,0)),2.5,2),0))</f>
        <v>0</v>
      </c>
      <c r="AB28" s="214">
        <f>IF((IF(E28="ND",14-IF(D28="",0,VLOOKUP(D28,Datenblatt!$L$2:$M$30,2,FALSE)),IF(E28="ND12,5",2,0)))&lt;0,0,(IF(E28="ND",14-IF(D28="",0,VLOOKUP(D28,Datenblatt!$L$2:$M$30,2,FALSE)),IF(E28="ND12,5",2,0))))</f>
        <v>0</v>
      </c>
      <c r="AC28" s="214">
        <f t="shared" si="4"/>
        <v>0</v>
      </c>
      <c r="AD28" s="214">
        <f t="shared" si="5"/>
        <v>0</v>
      </c>
      <c r="AE28" s="214">
        <f t="shared" si="8"/>
        <v>0</v>
      </c>
      <c r="AF28" s="112">
        <f t="shared" si="9"/>
        <v>0</v>
      </c>
      <c r="AG28" s="112">
        <f t="shared" si="10"/>
        <v>0</v>
      </c>
      <c r="AH28" s="112">
        <f>IF(E28="",0,VLOOKUP(E28,Datenblatt!$E$2:$G$28,3,FALSE))</f>
        <v>0</v>
      </c>
    </row>
    <row r="29" spans="1:34" ht="13" customHeight="1">
      <c r="A29" s="89" t="str">
        <f>IF(ISERROR(VLOOKUP(C29,Datenblatt!$B$84:$B$97,1,FALSE)),"","Ft")</f>
        <v/>
      </c>
      <c r="B29" s="84">
        <f t="shared" si="0"/>
        <v>45642</v>
      </c>
      <c r="C29" s="86">
        <f t="shared" si="6"/>
        <v>45642</v>
      </c>
      <c r="D29" s="67"/>
      <c r="E29" s="67"/>
      <c r="F29" s="68"/>
      <c r="G29" s="69"/>
      <c r="H29" s="68"/>
      <c r="I29" s="68"/>
      <c r="J29" s="99"/>
      <c r="K29" s="21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20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10" t="str">
        <f>IF(D29="","",IF(E28="ND",VLOOKUP(D29,Datenblatt!$A$2:$C$31,3,FALSE)-1,IF(E28="ND12,5",VLOOKUP(D29,Datenblatt!$A$2:$C$31,3,FALSE)-0.5,VLOOKUP(D29,Datenblatt!$A$2:$C$31,3,FALSE))))</f>
        <v/>
      </c>
      <c r="N29" s="211" t="str">
        <f t="shared" si="2"/>
        <v/>
      </c>
      <c r="O29" s="211" t="str">
        <f t="shared" si="3"/>
        <v/>
      </c>
      <c r="P29" s="186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103" t="str">
        <f>IF(D29="","",VLOOKUP(D29,Datenblatt!$A$2:$D$31,4,FALSE))</f>
        <v/>
      </c>
      <c r="R29" s="104" t="str">
        <f>IF(E29="","",VLOOKUP(E29,Datenblatt!$E$2:$G$28,2,FALSE))</f>
        <v/>
      </c>
      <c r="S29" s="105"/>
      <c r="T29" s="111">
        <f t="shared" si="7"/>
        <v>0</v>
      </c>
      <c r="U29" s="114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12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12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54">
        <f t="array" ref="X29">IF(T29=0,0,IF((AND((ROW(T29)=MATCH(TRUE,($T$1:$T$44)&gt;0,0)))),IF(W29&gt;=6,W29-6,0),IF(W29&gt;=2,2,W29)))</f>
        <v>0</v>
      </c>
      <c r="Y29" s="254">
        <f t="array" ref="Y29">IF(T28=0,0,(IF((AND((ROW(T28)=MATCH(TRUE,($T$1:$T$44)&gt;0,0)))),IF(W28&gt;=6,6,W28),IF(W28&gt;=2,W28-2,0))))</f>
        <v>0</v>
      </c>
      <c r="Z29" s="111" t="str">
        <f t="shared" si="1"/>
        <v/>
      </c>
      <c r="AA29" s="214">
        <f>IF(E28="ND",IF(ISERROR(MATCH(D29,Datenblatt!$L$2:$L$18,0)),3,2),IF(E28="ND12,5",IF(ISERROR(MATCH(D29,Datenblatt!$L$2:$L$18,0)),2.5,2),0))</f>
        <v>0</v>
      </c>
      <c r="AB29" s="214">
        <f>IF((IF(E29="ND",14-IF(D29="",0,VLOOKUP(D29,Datenblatt!$L$2:$M$30,2,FALSE)),IF(E29="ND12,5",2,0)))&lt;0,0,(IF(E29="ND",14-IF(D29="",0,VLOOKUP(D29,Datenblatt!$L$2:$M$30,2,FALSE)),IF(E29="ND12,5",2,0))))</f>
        <v>0</v>
      </c>
      <c r="AC29" s="214">
        <f t="shared" si="4"/>
        <v>0</v>
      </c>
      <c r="AD29" s="214">
        <f t="shared" si="5"/>
        <v>0</v>
      </c>
      <c r="AE29" s="214">
        <f t="shared" si="8"/>
        <v>0</v>
      </c>
      <c r="AF29" s="112">
        <f t="shared" si="9"/>
        <v>0</v>
      </c>
      <c r="AG29" s="112">
        <f t="shared" si="10"/>
        <v>0</v>
      </c>
      <c r="AH29" s="112">
        <f>IF(E29="",0,VLOOKUP(E29,Datenblatt!$E$2:$G$28,3,FALSE))</f>
        <v>0</v>
      </c>
    </row>
    <row r="30" spans="1:34" ht="13" customHeight="1">
      <c r="A30" s="89" t="str">
        <f>IF(ISERROR(VLOOKUP(C30,Datenblatt!$B$84:$B$97,1,FALSE)),"","Ft")</f>
        <v/>
      </c>
      <c r="B30" s="84">
        <f t="shared" si="0"/>
        <v>45643</v>
      </c>
      <c r="C30" s="86">
        <f t="shared" si="6"/>
        <v>45643</v>
      </c>
      <c r="D30" s="67"/>
      <c r="E30" s="67"/>
      <c r="F30" s="68"/>
      <c r="G30" s="69"/>
      <c r="H30" s="68"/>
      <c r="I30" s="68"/>
      <c r="J30" s="99"/>
      <c r="K30" s="21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20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10" t="str">
        <f>IF(D30="","",IF(E29="ND",VLOOKUP(D30,Datenblatt!$A$2:$C$31,3,FALSE)-1,IF(E29="ND12,5",VLOOKUP(D30,Datenblatt!$A$2:$C$31,3,FALSE)-0.5,VLOOKUP(D30,Datenblatt!$A$2:$C$31,3,FALSE))))</f>
        <v/>
      </c>
      <c r="N30" s="211" t="str">
        <f t="shared" si="2"/>
        <v/>
      </c>
      <c r="O30" s="211" t="str">
        <f t="shared" si="3"/>
        <v/>
      </c>
      <c r="P30" s="186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103" t="str">
        <f>IF(D30="","",VLOOKUP(D30,Datenblatt!$A$2:$D$31,4,FALSE))</f>
        <v/>
      </c>
      <c r="R30" s="104" t="str">
        <f>IF(E30="","",VLOOKUP(E30,Datenblatt!$E$2:$G$28,2,FALSE))</f>
        <v/>
      </c>
      <c r="S30" s="105"/>
      <c r="T30" s="111">
        <f t="shared" si="7"/>
        <v>0</v>
      </c>
      <c r="U30" s="114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12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12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54">
        <f t="array" ref="X30">IF(T30=0,0,IF((AND((ROW(T30)=MATCH(TRUE,($T$1:$T$44)&gt;0,0)))),IF(W30&gt;=6,W30-6,0),IF(W30&gt;=2,2,W30)))</f>
        <v>0</v>
      </c>
      <c r="Y30" s="254">
        <f t="array" ref="Y30">IF(T29=0,0,(IF((AND((ROW(T29)=MATCH(TRUE,($T$1:$T$44)&gt;0,0)))),IF(W29&gt;=6,6,W29),IF(W29&gt;=2,W29-2,0))))</f>
        <v>0</v>
      </c>
      <c r="Z30" s="111" t="str">
        <f t="shared" si="1"/>
        <v/>
      </c>
      <c r="AA30" s="214">
        <f>IF(E29="ND",IF(ISERROR(MATCH(D30,Datenblatt!$L$2:$L$18,0)),3,2),IF(E29="ND12,5",IF(ISERROR(MATCH(D30,Datenblatt!$L$2:$L$18,0)),2.5,2),0))</f>
        <v>0</v>
      </c>
      <c r="AB30" s="214">
        <f>IF((IF(E30="ND",14-IF(D30="",0,VLOOKUP(D30,Datenblatt!$L$2:$M$30,2,FALSE)),IF(E30="ND12,5",2,0)))&lt;0,0,(IF(E30="ND",14-IF(D30="",0,VLOOKUP(D30,Datenblatt!$L$2:$M$30,2,FALSE)),IF(E30="ND12,5",2,0))))</f>
        <v>0</v>
      </c>
      <c r="AC30" s="214">
        <f t="shared" si="4"/>
        <v>0</v>
      </c>
      <c r="AD30" s="214">
        <f t="shared" si="5"/>
        <v>0</v>
      </c>
      <c r="AE30" s="214">
        <f t="shared" si="8"/>
        <v>0</v>
      </c>
      <c r="AF30" s="112">
        <f t="shared" si="9"/>
        <v>0</v>
      </c>
      <c r="AG30" s="112">
        <f t="shared" si="10"/>
        <v>0</v>
      </c>
      <c r="AH30" s="112">
        <f>IF(E30="",0,VLOOKUP(E30,Datenblatt!$E$2:$G$28,3,FALSE))</f>
        <v>0</v>
      </c>
    </row>
    <row r="31" spans="1:34" ht="13" customHeight="1">
      <c r="A31" s="89" t="str">
        <f>IF(ISERROR(VLOOKUP(C31,Datenblatt!$B$84:$B$97,1,FALSE)),"","Ft")</f>
        <v/>
      </c>
      <c r="B31" s="84">
        <f t="shared" si="0"/>
        <v>45644</v>
      </c>
      <c r="C31" s="86">
        <f t="shared" si="6"/>
        <v>45644</v>
      </c>
      <c r="D31" s="67"/>
      <c r="E31" s="67"/>
      <c r="F31" s="68"/>
      <c r="G31" s="69"/>
      <c r="H31" s="68"/>
      <c r="I31" s="68"/>
      <c r="J31" s="99"/>
      <c r="K31" s="21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20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10" t="str">
        <f>IF(D31="","",IF(E30="ND",VLOOKUP(D31,Datenblatt!$A$2:$C$31,3,FALSE)-1,IF(E30="ND12,5",VLOOKUP(D31,Datenblatt!$A$2:$C$31,3,FALSE)-0.5,VLOOKUP(D31,Datenblatt!$A$2:$C$31,3,FALSE))))</f>
        <v/>
      </c>
      <c r="N31" s="211" t="str">
        <f t="shared" si="2"/>
        <v/>
      </c>
      <c r="O31" s="211" t="str">
        <f t="shared" si="3"/>
        <v/>
      </c>
      <c r="P31" s="186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103" t="str">
        <f>IF(D31="","",VLOOKUP(D31,Datenblatt!$A$2:$D$31,4,FALSE))</f>
        <v/>
      </c>
      <c r="R31" s="104" t="str">
        <f>IF(E31="","",VLOOKUP(E31,Datenblatt!$E$2:$G$28,2,FALSE))</f>
        <v/>
      </c>
      <c r="S31" s="105"/>
      <c r="T31" s="111">
        <f t="shared" si="7"/>
        <v>0</v>
      </c>
      <c r="U31" s="114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12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12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54">
        <f t="array" ref="X31">IF(T31=0,0,IF((AND((ROW(T31)=MATCH(TRUE,($T$1:$T$44)&gt;0,0)))),IF(W31&gt;=6,W31-6,0),IF(W31&gt;=2,2,W31)))</f>
        <v>0</v>
      </c>
      <c r="Y31" s="254">
        <f t="array" ref="Y31">IF(T30=0,0,(IF((AND((ROW(T30)=MATCH(TRUE,($T$1:$T$44)&gt;0,0)))),IF(W30&gt;=6,6,W30),IF(W30&gt;=2,W30-2,0))))</f>
        <v>0</v>
      </c>
      <c r="Z31" s="111" t="str">
        <f t="shared" si="1"/>
        <v/>
      </c>
      <c r="AA31" s="214">
        <f>IF(E30="ND",IF(ISERROR(MATCH(D31,Datenblatt!$L$2:$L$18,0)),3,2),IF(E30="ND12,5",IF(ISERROR(MATCH(D31,Datenblatt!$L$2:$L$18,0)),2.5,2),0))</f>
        <v>0</v>
      </c>
      <c r="AB31" s="214">
        <f>IF((IF(E31="ND",14-IF(D31="",0,VLOOKUP(D31,Datenblatt!$L$2:$M$30,2,FALSE)),IF(E31="ND12,5",2,0)))&lt;0,0,(IF(E31="ND",14-IF(D31="",0,VLOOKUP(D31,Datenblatt!$L$2:$M$30,2,FALSE)),IF(E31="ND12,5",2,0))))</f>
        <v>0</v>
      </c>
      <c r="AC31" s="214">
        <f t="shared" si="4"/>
        <v>0</v>
      </c>
      <c r="AD31" s="214">
        <f t="shared" si="5"/>
        <v>0</v>
      </c>
      <c r="AE31" s="214">
        <f t="shared" si="8"/>
        <v>0</v>
      </c>
      <c r="AF31" s="112">
        <f t="shared" si="9"/>
        <v>0</v>
      </c>
      <c r="AG31" s="112">
        <f t="shared" si="10"/>
        <v>0</v>
      </c>
      <c r="AH31" s="112">
        <f>IF(E31="",0,VLOOKUP(E31,Datenblatt!$E$2:$G$28,3,FALSE))</f>
        <v>0</v>
      </c>
    </row>
    <row r="32" spans="1:34" ht="13" customHeight="1">
      <c r="A32" s="89" t="str">
        <f>IF(ISERROR(VLOOKUP(C32,Datenblatt!$B$84:$B$97,1,FALSE)),"","Ft")</f>
        <v/>
      </c>
      <c r="B32" s="84">
        <f t="shared" si="0"/>
        <v>45645</v>
      </c>
      <c r="C32" s="86">
        <f t="shared" si="6"/>
        <v>45645</v>
      </c>
      <c r="D32" s="67"/>
      <c r="E32" s="67"/>
      <c r="F32" s="68"/>
      <c r="G32" s="69"/>
      <c r="H32" s="68"/>
      <c r="I32" s="68"/>
      <c r="J32" s="99"/>
      <c r="K32" s="21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20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10" t="str">
        <f>IF(D32="","",IF(E31="ND",VLOOKUP(D32,Datenblatt!$A$2:$C$31,3,FALSE)-1,IF(E31="ND12,5",VLOOKUP(D32,Datenblatt!$A$2:$C$31,3,FALSE)-0.5,VLOOKUP(D32,Datenblatt!$A$2:$C$31,3,FALSE))))</f>
        <v/>
      </c>
      <c r="N32" s="211" t="str">
        <f t="shared" si="2"/>
        <v/>
      </c>
      <c r="O32" s="211" t="str">
        <f t="shared" si="3"/>
        <v/>
      </c>
      <c r="P32" s="186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103" t="str">
        <f>IF(D32="","",VLOOKUP(D32,Datenblatt!$A$2:$D$31,4,FALSE))</f>
        <v/>
      </c>
      <c r="R32" s="104" t="str">
        <f>IF(E32="","",VLOOKUP(E32,Datenblatt!$E$2:$G$28,2,FALSE))</f>
        <v/>
      </c>
      <c r="S32" s="105"/>
      <c r="T32" s="111">
        <f t="shared" si="7"/>
        <v>0</v>
      </c>
      <c r="U32" s="114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12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12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54">
        <f t="array" ref="X32">IF(T32=0,0,IF((AND((ROW(T32)=MATCH(TRUE,($T$1:$T$44)&gt;0,0)))),IF(W32&gt;=6,W32-6,0),IF(W32&gt;=2,2,W32)))</f>
        <v>0</v>
      </c>
      <c r="Y32" s="254">
        <f t="array" ref="Y32">IF(T31=0,0,(IF((AND((ROW(T31)=MATCH(TRUE,($T$1:$T$44)&gt;0,0)))),IF(W31&gt;=6,6,W31),IF(W31&gt;=2,W31-2,0))))</f>
        <v>0</v>
      </c>
      <c r="Z32" s="111" t="str">
        <f t="shared" si="1"/>
        <v/>
      </c>
      <c r="AA32" s="214">
        <f>IF(E31="ND",IF(ISERROR(MATCH(D32,Datenblatt!$L$2:$L$18,0)),3,2),IF(E31="ND12,5",IF(ISERROR(MATCH(D32,Datenblatt!$L$2:$L$18,0)),2.5,2),0))</f>
        <v>0</v>
      </c>
      <c r="AB32" s="214">
        <f>IF((IF(E32="ND",14-IF(D32="",0,VLOOKUP(D32,Datenblatt!$L$2:$M$30,2,FALSE)),IF(E32="ND12,5",2,0)))&lt;0,0,(IF(E32="ND",14-IF(D32="",0,VLOOKUP(D32,Datenblatt!$L$2:$M$30,2,FALSE)),IF(E32="ND12,5",2,0))))</f>
        <v>0</v>
      </c>
      <c r="AC32" s="214">
        <f t="shared" si="4"/>
        <v>0</v>
      </c>
      <c r="AD32" s="214">
        <f t="shared" si="5"/>
        <v>0</v>
      </c>
      <c r="AE32" s="214">
        <f t="shared" si="8"/>
        <v>0</v>
      </c>
      <c r="AF32" s="112">
        <f t="shared" si="9"/>
        <v>0</v>
      </c>
      <c r="AG32" s="112">
        <f t="shared" si="10"/>
        <v>0</v>
      </c>
      <c r="AH32" s="112">
        <f>IF(E32="",0,VLOOKUP(E32,Datenblatt!$E$2:$G$28,3,FALSE))</f>
        <v>0</v>
      </c>
    </row>
    <row r="33" spans="1:34" ht="13" customHeight="1">
      <c r="A33" s="89" t="str">
        <f>IF(ISERROR(VLOOKUP(C33,Datenblatt!$B$84:$B$97,1,FALSE)),"","Ft")</f>
        <v/>
      </c>
      <c r="B33" s="84">
        <f t="shared" si="0"/>
        <v>45646</v>
      </c>
      <c r="C33" s="86">
        <f t="shared" si="6"/>
        <v>45646</v>
      </c>
      <c r="D33" s="67"/>
      <c r="E33" s="67"/>
      <c r="F33" s="68"/>
      <c r="G33" s="69"/>
      <c r="H33" s="68"/>
      <c r="I33" s="68"/>
      <c r="J33" s="99"/>
      <c r="K33" s="21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20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10" t="str">
        <f>IF(D33="","",IF(E32="ND",VLOOKUP(D33,Datenblatt!$A$2:$C$31,3,FALSE)-1,IF(E32="ND12,5",VLOOKUP(D33,Datenblatt!$A$2:$C$31,3,FALSE)-0.5,VLOOKUP(D33,Datenblatt!$A$2:$C$31,3,FALSE))))</f>
        <v/>
      </c>
      <c r="N33" s="211" t="str">
        <f t="shared" si="2"/>
        <v/>
      </c>
      <c r="O33" s="211" t="str">
        <f t="shared" si="3"/>
        <v/>
      </c>
      <c r="P33" s="186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103" t="str">
        <f>IF(D33="","",VLOOKUP(D33,Datenblatt!$A$2:$D$31,4,FALSE))</f>
        <v/>
      </c>
      <c r="R33" s="104" t="str">
        <f>IF(E33="","",VLOOKUP(E33,Datenblatt!$E$2:$G$28,2,FALSE))</f>
        <v/>
      </c>
      <c r="S33" s="105"/>
      <c r="T33" s="111">
        <f t="shared" si="7"/>
        <v>0</v>
      </c>
      <c r="U33" s="114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12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12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54">
        <f t="array" ref="X33">IF(T33=0,0,IF((AND((ROW(T33)=MATCH(TRUE,($T$1:$T$44)&gt;0,0)))),IF(W33&gt;=6,W33-6,0),IF(W33&gt;=2,2,W33)))</f>
        <v>0</v>
      </c>
      <c r="Y33" s="254">
        <f t="array" ref="Y33">IF(T32=0,0,(IF((AND((ROW(T32)=MATCH(TRUE,($T$1:$T$44)&gt;0,0)))),IF(W32&gt;=6,6,W32),IF(W32&gt;=2,W32-2,0))))</f>
        <v>0</v>
      </c>
      <c r="Z33" s="111" t="str">
        <f t="shared" si="1"/>
        <v/>
      </c>
      <c r="AA33" s="214">
        <f>IF(E32="ND",IF(ISERROR(MATCH(D33,Datenblatt!$L$2:$L$18,0)),3,2),IF(E32="ND12,5",IF(ISERROR(MATCH(D33,Datenblatt!$L$2:$L$18,0)),2.5,2),0))</f>
        <v>0</v>
      </c>
      <c r="AB33" s="214">
        <f>IF((IF(E33="ND",14-IF(D33="",0,VLOOKUP(D33,Datenblatt!$L$2:$M$30,2,FALSE)),IF(E33="ND12,5",2,0)))&lt;0,0,(IF(E33="ND",14-IF(D33="",0,VLOOKUP(D33,Datenblatt!$L$2:$M$30,2,FALSE)),IF(E33="ND12,5",2,0))))</f>
        <v>0</v>
      </c>
      <c r="AC33" s="214">
        <f t="shared" si="4"/>
        <v>0</v>
      </c>
      <c r="AD33" s="214">
        <f t="shared" si="5"/>
        <v>0</v>
      </c>
      <c r="AE33" s="214">
        <f t="shared" si="8"/>
        <v>0</v>
      </c>
      <c r="AF33" s="112">
        <f t="shared" si="9"/>
        <v>0</v>
      </c>
      <c r="AG33" s="112">
        <f t="shared" si="10"/>
        <v>0</v>
      </c>
      <c r="AH33" s="112">
        <f>IF(E33="",0,VLOOKUP(E33,Datenblatt!$E$2:$G$28,3,FALSE))</f>
        <v>0</v>
      </c>
    </row>
    <row r="34" spans="1:34" ht="13" customHeight="1">
      <c r="A34" s="89" t="str">
        <f>IF(ISERROR(VLOOKUP(C34,Datenblatt!$B$84:$B$97,1,FALSE)),"","Ft")</f>
        <v/>
      </c>
      <c r="B34" s="84">
        <f t="shared" si="0"/>
        <v>45647</v>
      </c>
      <c r="C34" s="86">
        <f t="shared" si="6"/>
        <v>45647</v>
      </c>
      <c r="D34" s="67"/>
      <c r="E34" s="67"/>
      <c r="F34" s="68"/>
      <c r="G34" s="69"/>
      <c r="H34" s="68"/>
      <c r="I34" s="68"/>
      <c r="J34" s="99"/>
      <c r="K34" s="21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20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10" t="str">
        <f>IF(D34="","",IF(E33="ND",VLOOKUP(D34,Datenblatt!$A$2:$C$31,3,FALSE)-1,IF(E33="ND12,5",VLOOKUP(D34,Datenblatt!$A$2:$C$31,3,FALSE)-0.5,VLOOKUP(D34,Datenblatt!$A$2:$C$31,3,FALSE))))</f>
        <v/>
      </c>
      <c r="N34" s="211" t="str">
        <f t="shared" si="2"/>
        <v/>
      </c>
      <c r="O34" s="211" t="str">
        <f t="shared" si="3"/>
        <v/>
      </c>
      <c r="P34" s="186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103" t="str">
        <f>IF(D34="","",VLOOKUP(D34,Datenblatt!$A$2:$D$31,4,FALSE))</f>
        <v/>
      </c>
      <c r="R34" s="104" t="str">
        <f>IF(E34="","",VLOOKUP(E34,Datenblatt!$E$2:$G$28,2,FALSE))</f>
        <v/>
      </c>
      <c r="S34" s="105"/>
      <c r="T34" s="111">
        <f t="shared" si="7"/>
        <v>0</v>
      </c>
      <c r="U34" s="114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12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12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54">
        <f t="array" ref="X34">IF(T34=0,0,IF((AND((ROW(T34)=MATCH(TRUE,($T$1:$T$44)&gt;0,0)))),IF(W34&gt;=6,W34-6,0),IF(W34&gt;=2,2,W34)))</f>
        <v>0</v>
      </c>
      <c r="Y34" s="254">
        <f t="array" ref="Y34">IF(T33=0,0,(IF((AND((ROW(T33)=MATCH(TRUE,($T$1:$T$44)&gt;0,0)))),IF(W33&gt;=6,6,W33),IF(W33&gt;=2,W33-2,0))))</f>
        <v>0</v>
      </c>
      <c r="Z34" s="111" t="str">
        <f t="shared" si="1"/>
        <v/>
      </c>
      <c r="AA34" s="214">
        <f>IF(E33="ND",IF(ISERROR(MATCH(D34,Datenblatt!$L$2:$L$18,0)),3,2),IF(E33="ND12,5",IF(ISERROR(MATCH(D34,Datenblatt!$L$2:$L$18,0)),2.5,2),0))</f>
        <v>0</v>
      </c>
      <c r="AB34" s="214">
        <f>IF((IF(E34="ND",14-IF(D34="",0,VLOOKUP(D34,Datenblatt!$L$2:$M$30,2,FALSE)),IF(E34="ND12,5",2,0)))&lt;0,0,(IF(E34="ND",14-IF(D34="",0,VLOOKUP(D34,Datenblatt!$L$2:$M$30,2,FALSE)),IF(E34="ND12,5",2,0))))</f>
        <v>0</v>
      </c>
      <c r="AC34" s="214">
        <f t="shared" si="4"/>
        <v>0</v>
      </c>
      <c r="AD34" s="214">
        <f t="shared" si="5"/>
        <v>0</v>
      </c>
      <c r="AE34" s="214">
        <f t="shared" si="8"/>
        <v>0</v>
      </c>
      <c r="AF34" s="112">
        <f t="shared" si="9"/>
        <v>0</v>
      </c>
      <c r="AG34" s="112">
        <f t="shared" si="10"/>
        <v>0</v>
      </c>
      <c r="AH34" s="112">
        <f>IF(E34="",0,VLOOKUP(E34,Datenblatt!$E$2:$G$28,3,FALSE))</f>
        <v>0</v>
      </c>
    </row>
    <row r="35" spans="1:34" ht="13" customHeight="1">
      <c r="A35" s="89" t="str">
        <f>IF(ISERROR(VLOOKUP(C35,Datenblatt!$B$84:$B$97,1,FALSE)),"","Ft")</f>
        <v/>
      </c>
      <c r="B35" s="84">
        <f t="shared" si="0"/>
        <v>45648</v>
      </c>
      <c r="C35" s="86">
        <f t="shared" si="6"/>
        <v>45648</v>
      </c>
      <c r="D35" s="67"/>
      <c r="E35" s="67"/>
      <c r="F35" s="68"/>
      <c r="G35" s="69"/>
      <c r="H35" s="68"/>
      <c r="I35" s="68"/>
      <c r="J35" s="99"/>
      <c r="K35" s="21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20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10" t="str">
        <f>IF(D35="","",IF(E34="ND",VLOOKUP(D35,Datenblatt!$A$2:$C$31,3,FALSE)-1,IF(E34="ND12,5",VLOOKUP(D35,Datenblatt!$A$2:$C$31,3,FALSE)-0.5,VLOOKUP(D35,Datenblatt!$A$2:$C$31,3,FALSE))))</f>
        <v/>
      </c>
      <c r="N35" s="211" t="str">
        <f t="shared" si="2"/>
        <v/>
      </c>
      <c r="O35" s="211">
        <f t="shared" si="3"/>
        <v>0</v>
      </c>
      <c r="P35" s="186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103" t="str">
        <f>IF(D35="","",VLOOKUP(D35,Datenblatt!$A$2:$D$31,4,FALSE))</f>
        <v/>
      </c>
      <c r="R35" s="104" t="str">
        <f>IF(E35="","",VLOOKUP(E35,Datenblatt!$E$2:$G$28,2,FALSE))</f>
        <v/>
      </c>
      <c r="S35" s="105"/>
      <c r="T35" s="111">
        <f t="shared" si="7"/>
        <v>0</v>
      </c>
      <c r="U35" s="114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12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12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54">
        <f t="array" ref="X35">IF(T35=0,0,IF((AND((ROW(T35)=MATCH(TRUE,($T$1:$T$44)&gt;0,0)))),IF(W35&gt;=6,W35-6,0),IF(W35&gt;=2,2,W35)))</f>
        <v>0</v>
      </c>
      <c r="Y35" s="254">
        <f t="array" ref="Y35">IF(T34=0,0,(IF((AND((ROW(T34)=MATCH(TRUE,($T$1:$T$44)&gt;0,0)))),IF(W34&gt;=6,6,W34),IF(W34&gt;=2,W34-2,0))))</f>
        <v>0</v>
      </c>
      <c r="Z35" s="111" t="str">
        <f t="shared" si="1"/>
        <v/>
      </c>
      <c r="AA35" s="214">
        <f>IF(E34="ND",IF(ISERROR(MATCH(D35,Datenblatt!$L$2:$L$18,0)),3,2),IF(E34="ND12,5",IF(ISERROR(MATCH(D35,Datenblatt!$L$2:$L$18,0)),2.5,2),0))</f>
        <v>0</v>
      </c>
      <c r="AB35" s="214">
        <f>IF((IF(E35="ND",14-IF(D35="",0,VLOOKUP(D35,Datenblatt!$L$2:$M$30,2,FALSE)),IF(E35="ND12,5",2,0)))&lt;0,0,(IF(E35="ND",14-IF(D35="",0,VLOOKUP(D35,Datenblatt!$L$2:$M$30,2,FALSE)),IF(E35="ND12,5",2,0))))</f>
        <v>0</v>
      </c>
      <c r="AC35" s="214">
        <f t="shared" si="4"/>
        <v>0</v>
      </c>
      <c r="AD35" s="214">
        <f t="shared" si="5"/>
        <v>0</v>
      </c>
      <c r="AE35" s="214">
        <f t="shared" si="8"/>
        <v>0</v>
      </c>
      <c r="AF35" s="112">
        <f t="shared" si="9"/>
        <v>0</v>
      </c>
      <c r="AG35" s="112">
        <f t="shared" si="10"/>
        <v>0</v>
      </c>
      <c r="AH35" s="112">
        <f>IF(E35="",0,VLOOKUP(E35,Datenblatt!$E$2:$G$28,3,FALSE))</f>
        <v>0</v>
      </c>
    </row>
    <row r="36" spans="1:34" ht="13" customHeight="1">
      <c r="A36" s="89" t="str">
        <f>IF(ISERROR(VLOOKUP(C36,Datenblatt!$B$84:$B$97,1,FALSE)),"","Ft")</f>
        <v/>
      </c>
      <c r="B36" s="84">
        <f t="shared" si="0"/>
        <v>45649</v>
      </c>
      <c r="C36" s="86">
        <f t="shared" si="6"/>
        <v>45649</v>
      </c>
      <c r="D36" s="67"/>
      <c r="E36" s="67"/>
      <c r="F36" s="68"/>
      <c r="G36" s="69"/>
      <c r="H36" s="68"/>
      <c r="I36" s="68"/>
      <c r="J36" s="99"/>
      <c r="K36" s="21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20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10" t="str">
        <f>IF(D36="","",IF(E35="ND",VLOOKUP(D36,Datenblatt!$A$2:$C$31,3,FALSE)-1,IF(E35="ND12,5",VLOOKUP(D36,Datenblatt!$A$2:$C$31,3,FALSE)-0.5,VLOOKUP(D36,Datenblatt!$A$2:$C$31,3,FALSE))))</f>
        <v/>
      </c>
      <c r="N36" s="211" t="str">
        <f t="shared" si="2"/>
        <v/>
      </c>
      <c r="O36" s="211" t="str">
        <f t="shared" si="3"/>
        <v/>
      </c>
      <c r="P36" s="186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103" t="str">
        <f>IF(D36="","",VLOOKUP(D36,Datenblatt!$A$2:$D$31,4,FALSE))</f>
        <v/>
      </c>
      <c r="R36" s="104" t="str">
        <f>IF(E36="","",VLOOKUP(E36,Datenblatt!$E$2:$G$28,2,FALSE))</f>
        <v/>
      </c>
      <c r="S36" s="105"/>
      <c r="T36" s="111">
        <f t="shared" si="7"/>
        <v>0</v>
      </c>
      <c r="U36" s="114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12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12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54">
        <f t="array" ref="X36">IF(T36=0,0,IF((AND((ROW(T36)=MATCH(TRUE,($T$1:$T$44)&gt;0,0)))),IF(W36&gt;=6,W36-6,0),IF(W36&gt;=2,2,W36)))</f>
        <v>0</v>
      </c>
      <c r="Y36" s="254">
        <f t="array" ref="Y36">IF(T35=0,0,(IF((AND((ROW(T35)=MATCH(TRUE,($T$1:$T$44)&gt;0,0)))),IF(W35&gt;=6,6,W35),IF(W35&gt;=2,W35-2,0))))</f>
        <v>0</v>
      </c>
      <c r="Z36" s="111" t="str">
        <f t="shared" si="1"/>
        <v/>
      </c>
      <c r="AA36" s="214">
        <f>IF(E35="ND",IF(ISERROR(MATCH(D36,Datenblatt!$L$2:$L$18,0)),3,2),IF(E35="ND12,5",IF(ISERROR(MATCH(D36,Datenblatt!$L$2:$L$18,0)),2.5,2),0))</f>
        <v>0</v>
      </c>
      <c r="AB36" s="214">
        <f>IF((IF(E36="ND",14-IF(D36="",0,VLOOKUP(D36,Datenblatt!$L$2:$M$30,2,FALSE)),IF(E36="ND12,5",2,0)))&lt;0,0,(IF(E36="ND",14-IF(D36="",0,VLOOKUP(D36,Datenblatt!$L$2:$M$30,2,FALSE)),IF(E36="ND12,5",2,0))))</f>
        <v>0</v>
      </c>
      <c r="AC36" s="214">
        <f t="shared" si="4"/>
        <v>0</v>
      </c>
      <c r="AD36" s="214">
        <f t="shared" si="5"/>
        <v>0</v>
      </c>
      <c r="AE36" s="214">
        <f t="shared" si="8"/>
        <v>0</v>
      </c>
      <c r="AF36" s="112">
        <f t="shared" si="9"/>
        <v>0</v>
      </c>
      <c r="AG36" s="112">
        <f t="shared" si="10"/>
        <v>0</v>
      </c>
      <c r="AH36" s="112">
        <f>IF(E36="",0,VLOOKUP(E36,Datenblatt!$E$2:$G$28,3,FALSE))</f>
        <v>0</v>
      </c>
    </row>
    <row r="37" spans="1:34" ht="13" customHeight="1">
      <c r="A37" s="89" t="str">
        <f>IF(ISERROR(VLOOKUP(C37,Datenblatt!$B$84:$B$97,1,FALSE)),"","Ft")</f>
        <v/>
      </c>
      <c r="B37" s="84">
        <f t="shared" si="0"/>
        <v>45650</v>
      </c>
      <c r="C37" s="86">
        <f t="shared" si="6"/>
        <v>45650</v>
      </c>
      <c r="D37" s="67"/>
      <c r="E37" s="67"/>
      <c r="F37" s="68"/>
      <c r="G37" s="69"/>
      <c r="H37" s="68"/>
      <c r="I37" s="68"/>
      <c r="J37" s="99"/>
      <c r="K37" s="21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20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10" t="str">
        <f>IF(D37="","",IF(E36="ND",VLOOKUP(D37,Datenblatt!$A$2:$C$31,3,FALSE)-1,IF(E36="ND12,5",VLOOKUP(D37,Datenblatt!$A$2:$C$31,3,FALSE)-0.5,VLOOKUP(D37,Datenblatt!$A$2:$C$31,3,FALSE))))</f>
        <v/>
      </c>
      <c r="N37" s="211" t="str">
        <f t="shared" si="2"/>
        <v/>
      </c>
      <c r="O37" s="211" t="str">
        <f t="shared" si="3"/>
        <v/>
      </c>
      <c r="P37" s="186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103" t="str">
        <f>IF(D37="","",VLOOKUP(D37,Datenblatt!$A$2:$D$31,4,FALSE))</f>
        <v/>
      </c>
      <c r="R37" s="104" t="str">
        <f>IF(E37="","",VLOOKUP(E37,Datenblatt!$E$2:$G$28,2,FALSE))</f>
        <v/>
      </c>
      <c r="S37" s="105"/>
      <c r="T37" s="111">
        <f t="shared" si="7"/>
        <v>0</v>
      </c>
      <c r="U37" s="114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12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12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54">
        <f t="array" ref="X37">IF(T37=0,0,IF((AND((ROW(T37)=MATCH(TRUE,($T$1:$T$44)&gt;0,0)))),IF(W37&gt;=6,W37-6,0),IF(W37&gt;=2,2,W37)))</f>
        <v>0</v>
      </c>
      <c r="Y37" s="254">
        <f t="array" ref="Y37">IF(T36=0,0,(IF((AND((ROW(T36)=MATCH(TRUE,($T$1:$T$44)&gt;0,0)))),IF(W36&gt;=6,6,W36),IF(W36&gt;=2,W36-2,0))))</f>
        <v>0</v>
      </c>
      <c r="Z37" s="111" t="str">
        <f t="shared" si="1"/>
        <v/>
      </c>
      <c r="AA37" s="214">
        <f>IF(E36="ND",IF(ISERROR(MATCH(D37,Datenblatt!$L$2:$L$18,0)),3,2),IF(E36="ND12,5",IF(ISERROR(MATCH(D37,Datenblatt!$L$2:$L$18,0)),2.5,2),0))</f>
        <v>0</v>
      </c>
      <c r="AB37" s="214">
        <f>IF((IF(E37="ND",14-IF(D37="",0,VLOOKUP(D37,Datenblatt!$L$2:$M$30,2,FALSE)),IF(E37="ND12,5",2,0)))&lt;0,0,(IF(E37="ND",14-IF(D37="",0,VLOOKUP(D37,Datenblatt!$L$2:$M$30,2,FALSE)),IF(E37="ND12,5",2,0))))</f>
        <v>0</v>
      </c>
      <c r="AC37" s="214">
        <f t="shared" si="4"/>
        <v>0</v>
      </c>
      <c r="AD37" s="214">
        <f t="shared" si="5"/>
        <v>0</v>
      </c>
      <c r="AE37" s="214">
        <f t="shared" si="8"/>
        <v>0</v>
      </c>
      <c r="AF37" s="112">
        <f t="shared" si="9"/>
        <v>0</v>
      </c>
      <c r="AG37" s="112">
        <f t="shared" si="10"/>
        <v>0</v>
      </c>
      <c r="AH37" s="112">
        <f>IF(E37="",0,VLOOKUP(E37,Datenblatt!$E$2:$G$28,3,FALSE))</f>
        <v>0</v>
      </c>
    </row>
    <row r="38" spans="1:34" ht="13" customHeight="1">
      <c r="A38" s="89" t="str">
        <f>IF(ISERROR(VLOOKUP(C38,Datenblatt!$B$84:$B$97,1,FALSE)),"","Ft")</f>
        <v>Ft</v>
      </c>
      <c r="B38" s="84">
        <f t="shared" si="0"/>
        <v>45651</v>
      </c>
      <c r="C38" s="86">
        <f t="shared" si="6"/>
        <v>45651</v>
      </c>
      <c r="D38" s="67"/>
      <c r="E38" s="67"/>
      <c r="F38" s="68"/>
      <c r="G38" s="69"/>
      <c r="H38" s="68"/>
      <c r="I38" s="68"/>
      <c r="J38" s="99"/>
      <c r="K38" s="21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20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10" t="str">
        <f>IF(D38="","",IF(E37="ND",VLOOKUP(D38,Datenblatt!$A$2:$C$31,3,FALSE)-1,IF(E37="ND12,5",VLOOKUP(D38,Datenblatt!$A$2:$C$31,3,FALSE)-0.5,VLOOKUP(D38,Datenblatt!$A$2:$C$31,3,FALSE))))</f>
        <v/>
      </c>
      <c r="N38" s="211" t="str">
        <f t="shared" si="2"/>
        <v/>
      </c>
      <c r="O38" s="211">
        <f t="shared" si="3"/>
        <v>0</v>
      </c>
      <c r="P38" s="186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103" t="str">
        <f>IF(D38="","",VLOOKUP(D38,Datenblatt!$A$2:$D$31,4,FALSE))</f>
        <v/>
      </c>
      <c r="R38" s="104" t="str">
        <f>IF(E38="","",VLOOKUP(E38,Datenblatt!$E$2:$G$28,2,FALSE))</f>
        <v/>
      </c>
      <c r="S38" s="105"/>
      <c r="T38" s="111">
        <f t="shared" si="7"/>
        <v>0</v>
      </c>
      <c r="U38" s="114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12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12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54">
        <f t="array" ref="X38">IF(T38=0,0,IF((AND((ROW(T38)=MATCH(TRUE,($T$1:$T$44)&gt;0,0)))),IF(W38&gt;=6,W38-6,0),IF(W38&gt;=2,2,W38)))</f>
        <v>0</v>
      </c>
      <c r="Y38" s="254">
        <f t="array" ref="Y38">IF(T37=0,0,(IF((AND((ROW(T37)=MATCH(TRUE,($T$1:$T$44)&gt;0,0)))),IF(W37&gt;=6,6,W37),IF(W37&gt;=2,W37-2,0))))</f>
        <v>0</v>
      </c>
      <c r="Z38" s="111" t="str">
        <f t="shared" si="1"/>
        <v/>
      </c>
      <c r="AA38" s="214">
        <f>IF(E37="ND",IF(ISERROR(MATCH(D38,Datenblatt!$L$2:$L$18,0)),3,2),IF(E37="ND12,5",IF(ISERROR(MATCH(D38,Datenblatt!$L$2:$L$18,0)),2.5,2),0))</f>
        <v>0</v>
      </c>
      <c r="AB38" s="214">
        <f>IF((IF(E38="ND",14-IF(D38="",0,VLOOKUP(D38,Datenblatt!$L$2:$M$30,2,FALSE)),IF(E38="ND12,5",2,0)))&lt;0,0,(IF(E38="ND",14-IF(D38="",0,VLOOKUP(D38,Datenblatt!$L$2:$M$30,2,FALSE)),IF(E38="ND12,5",2,0))))</f>
        <v>0</v>
      </c>
      <c r="AC38" s="214">
        <f t="shared" si="4"/>
        <v>0</v>
      </c>
      <c r="AD38" s="214">
        <f t="shared" si="5"/>
        <v>0</v>
      </c>
      <c r="AE38" s="214">
        <f t="shared" si="8"/>
        <v>0</v>
      </c>
      <c r="AF38" s="112">
        <f t="shared" si="9"/>
        <v>0</v>
      </c>
      <c r="AG38" s="112">
        <f t="shared" si="10"/>
        <v>0</v>
      </c>
      <c r="AH38" s="112">
        <f>IF(E38="",0,VLOOKUP(E38,Datenblatt!$E$2:$G$28,3,FALSE))</f>
        <v>0</v>
      </c>
    </row>
    <row r="39" spans="1:34" ht="13" customHeight="1">
      <c r="A39" s="89" t="str">
        <f>IF(ISERROR(VLOOKUP(C39,Datenblatt!$B$84:$B$97,1,FALSE)),"","Ft")</f>
        <v>Ft</v>
      </c>
      <c r="B39" s="84">
        <f t="shared" si="0"/>
        <v>45652</v>
      </c>
      <c r="C39" s="86">
        <f t="shared" si="6"/>
        <v>45652</v>
      </c>
      <c r="D39" s="67"/>
      <c r="E39" s="67"/>
      <c r="F39" s="68"/>
      <c r="G39" s="69"/>
      <c r="H39" s="68"/>
      <c r="I39" s="68"/>
      <c r="J39" s="99"/>
      <c r="K39" s="21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20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10" t="str">
        <f>IF(D39="","",IF(E38="ND",VLOOKUP(D39,Datenblatt!$A$2:$C$31,3,FALSE)-1,IF(E38="ND12,5",VLOOKUP(D39,Datenblatt!$A$2:$C$31,3,FALSE)-0.5,VLOOKUP(D39,Datenblatt!$A$2:$C$31,3,FALSE))))</f>
        <v/>
      </c>
      <c r="N39" s="211" t="str">
        <f t="shared" si="2"/>
        <v/>
      </c>
      <c r="O39" s="211">
        <f t="shared" si="3"/>
        <v>0</v>
      </c>
      <c r="P39" s="186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103" t="str">
        <f>IF(D39="","",VLOOKUP(D39,Datenblatt!$A$2:$D$31,4,FALSE))</f>
        <v/>
      </c>
      <c r="R39" s="104" t="str">
        <f>IF(E39="","",VLOOKUP(E39,Datenblatt!$E$2:$G$28,2,FALSE))</f>
        <v/>
      </c>
      <c r="S39" s="105"/>
      <c r="T39" s="111">
        <f t="shared" si="7"/>
        <v>0</v>
      </c>
      <c r="U39" s="114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12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12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54">
        <f t="array" ref="X39">IF(T39=0,0,IF((AND((ROW(T39)=MATCH(TRUE,($T$1:$T$44)&gt;0,0)))),IF(W39&gt;=6,W39-6,0),IF(W39&gt;=2,2,W39)))</f>
        <v>0</v>
      </c>
      <c r="Y39" s="254">
        <f t="array" ref="Y39">IF(T38=0,0,(IF((AND((ROW(T38)=MATCH(TRUE,($T$1:$T$44)&gt;0,0)))),IF(W38&gt;=6,6,W38),IF(W38&gt;=2,W38-2,0))))</f>
        <v>0</v>
      </c>
      <c r="Z39" s="111" t="str">
        <f t="shared" si="1"/>
        <v/>
      </c>
      <c r="AA39" s="214">
        <f>IF(E38="ND",IF(ISERROR(MATCH(D39,Datenblatt!$L$2:$L$18,0)),3,2),IF(E38="ND12,5",IF(ISERROR(MATCH(D39,Datenblatt!$L$2:$L$18,0)),2.5,2),0))</f>
        <v>0</v>
      </c>
      <c r="AB39" s="214">
        <f>IF((IF(E39="ND",14-IF(D39="",0,VLOOKUP(D39,Datenblatt!$L$2:$M$30,2,FALSE)),IF(E39="ND12,5",2,0)))&lt;0,0,(IF(E39="ND",14-IF(D39="",0,VLOOKUP(D39,Datenblatt!$L$2:$M$30,2,FALSE)),IF(E39="ND12,5",2,0))))</f>
        <v>0</v>
      </c>
      <c r="AC39" s="214">
        <f t="shared" si="4"/>
        <v>0</v>
      </c>
      <c r="AD39" s="214">
        <f t="shared" si="5"/>
        <v>0</v>
      </c>
      <c r="AE39" s="214">
        <f t="shared" si="8"/>
        <v>0</v>
      </c>
      <c r="AF39" s="112">
        <f t="shared" si="9"/>
        <v>0</v>
      </c>
      <c r="AG39" s="112">
        <f t="shared" si="10"/>
        <v>0</v>
      </c>
      <c r="AH39" s="112">
        <f>IF(E39="",0,VLOOKUP(E39,Datenblatt!$E$2:$G$28,3,FALSE))</f>
        <v>0</v>
      </c>
    </row>
    <row r="40" spans="1:34" ht="13" customHeight="1">
      <c r="A40" s="89" t="str">
        <f>IF(ISERROR(VLOOKUP(C40,Datenblatt!$B$84:$B$97,1,FALSE)),"","Ft")</f>
        <v/>
      </c>
      <c r="B40" s="84">
        <f t="shared" si="0"/>
        <v>45653</v>
      </c>
      <c r="C40" s="86">
        <f t="shared" si="6"/>
        <v>45653</v>
      </c>
      <c r="D40" s="67"/>
      <c r="E40" s="67"/>
      <c r="F40" s="68"/>
      <c r="G40" s="69"/>
      <c r="H40" s="68"/>
      <c r="I40" s="68"/>
      <c r="J40" s="99"/>
      <c r="K40" s="21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20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10" t="str">
        <f>IF(D40="","",IF(E39="ND",VLOOKUP(D40,Datenblatt!$A$2:$C$31,3,FALSE)-1,IF(E39="ND12,5",VLOOKUP(D40,Datenblatt!$A$2:$C$31,3,FALSE)-0.5,VLOOKUP(D40,Datenblatt!$A$2:$C$31,3,FALSE))))</f>
        <v/>
      </c>
      <c r="N40" s="211" t="str">
        <f t="shared" si="2"/>
        <v/>
      </c>
      <c r="O40" s="211" t="str">
        <f t="shared" si="3"/>
        <v/>
      </c>
      <c r="P40" s="186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103" t="str">
        <f>IF(D40="","",VLOOKUP(D40,Datenblatt!$A$2:$D$31,4,FALSE))</f>
        <v/>
      </c>
      <c r="R40" s="104" t="str">
        <f>IF(E40="","",VLOOKUP(E40,Datenblatt!$E$2:$G$28,2,FALSE))</f>
        <v/>
      </c>
      <c r="S40" s="106"/>
      <c r="T40" s="111">
        <f t="shared" si="7"/>
        <v>0</v>
      </c>
      <c r="U40" s="114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12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12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54">
        <f t="array" ref="X40">IF(T40=0,0,IF((AND((ROW(T40)=MATCH(TRUE,($T$1:$T$44)&gt;0,0)))),IF(W40&gt;=6,W40-6,0),IF(W40&gt;=2,2,W40)))</f>
        <v>0</v>
      </c>
      <c r="Y40" s="254">
        <f t="array" ref="Y40">IF(T39=0,0,(IF((AND((ROW(T39)=MATCH(TRUE,($T$1:$T$44)&gt;0,0)))),IF(W39&gt;=6,6,W39),IF(W39&gt;=2,W39-2,0))))</f>
        <v>0</v>
      </c>
      <c r="Z40" s="111" t="str">
        <f t="shared" si="1"/>
        <v/>
      </c>
      <c r="AA40" s="214">
        <f>IF(E39="ND",IF(ISERROR(MATCH(D40,Datenblatt!$L$2:$L$18,0)),3,2),IF(E39="ND12,5",IF(ISERROR(MATCH(D40,Datenblatt!$L$2:$L$18,0)),2.5,2),0))</f>
        <v>0</v>
      </c>
      <c r="AB40" s="214">
        <f>IF((IF(E40="ND",14-IF(D40="",0,VLOOKUP(D40,Datenblatt!$L$2:$M$30,2,FALSE)),IF(E40="ND12,5",2,0)))&lt;0,0,(IF(E40="ND",14-IF(D40="",0,VLOOKUP(D40,Datenblatt!$L$2:$M$30,2,FALSE)),IF(E40="ND12,5",2,0))))</f>
        <v>0</v>
      </c>
      <c r="AC40" s="214">
        <f t="shared" si="4"/>
        <v>0</v>
      </c>
      <c r="AD40" s="214">
        <f t="shared" si="5"/>
        <v>0</v>
      </c>
      <c r="AE40" s="214">
        <f t="shared" si="8"/>
        <v>0</v>
      </c>
      <c r="AF40" s="112">
        <f t="shared" si="9"/>
        <v>0</v>
      </c>
      <c r="AG40" s="112">
        <f t="shared" si="10"/>
        <v>0</v>
      </c>
      <c r="AH40" s="112">
        <f>IF(E40="",0,VLOOKUP(E40,Datenblatt!$E$2:$G$28,3,FALSE))</f>
        <v>0</v>
      </c>
    </row>
    <row r="41" spans="1:34" ht="13" customHeight="1">
      <c r="A41" s="89" t="str">
        <f>IF(ISERROR(VLOOKUP(C41,Datenblatt!$B$84:$B$97,1,FALSE)),"","Ft")</f>
        <v/>
      </c>
      <c r="B41" s="84">
        <f t="shared" si="0"/>
        <v>45654</v>
      </c>
      <c r="C41" s="86">
        <f t="shared" si="6"/>
        <v>45654</v>
      </c>
      <c r="D41" s="67"/>
      <c r="E41" s="67"/>
      <c r="F41" s="68"/>
      <c r="G41" s="69"/>
      <c r="H41" s="68"/>
      <c r="I41" s="68"/>
      <c r="J41" s="99"/>
      <c r="K41" s="21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20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10" t="str">
        <f>IF(D41="","",IF(E40="ND",VLOOKUP(D41,Datenblatt!$A$2:$C$31,3,FALSE)-1,IF(E40="ND12,5",VLOOKUP(D41,Datenblatt!$A$2:$C$31,3,FALSE)-0.5,VLOOKUP(D41,Datenblatt!$A$2:$C$31,3,FALSE))))</f>
        <v/>
      </c>
      <c r="N41" s="211" t="str">
        <f t="shared" si="2"/>
        <v/>
      </c>
      <c r="O41" s="211" t="str">
        <f t="shared" si="3"/>
        <v/>
      </c>
      <c r="P41" s="186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103" t="str">
        <f>IF(D41="","",VLOOKUP(D41,Datenblatt!$A$2:$D$31,4,FALSE))</f>
        <v/>
      </c>
      <c r="R41" s="104" t="str">
        <f>IF(E41="","",VLOOKUP(E41,Datenblatt!$E$2:$G$28,2,FALSE))</f>
        <v/>
      </c>
      <c r="S41" s="106"/>
      <c r="T41" s="111">
        <f t="shared" si="7"/>
        <v>0</v>
      </c>
      <c r="U41" s="114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12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12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54">
        <f t="array" ref="X41">IF(T41=0,0,IF((AND((ROW(T41)=MATCH(TRUE,($T$1:$T$44)&gt;0,0)))),IF(W41&gt;=6,W41-6,0),IF(W41&gt;=2,2,W41)))</f>
        <v>0</v>
      </c>
      <c r="Y41" s="254">
        <f t="array" ref="Y41">IF(T40=0,0,(IF((AND((ROW(T40)=MATCH(TRUE,($T$1:$T$44)&gt;0,0)))),IF(W40&gt;=6,6,W40),IF(W40&gt;=2,W40-2,0))))</f>
        <v>0</v>
      </c>
      <c r="Z41" s="111" t="str">
        <f t="shared" si="1"/>
        <v/>
      </c>
      <c r="AA41" s="214">
        <f>IF(E40="ND",IF(ISERROR(MATCH(D41,Datenblatt!$L$2:$L$18,0)),3,2),IF(E40="ND12,5",IF(ISERROR(MATCH(D41,Datenblatt!$L$2:$L$18,0)),2.5,2),0))</f>
        <v>0</v>
      </c>
      <c r="AB41" s="214">
        <f>IF((IF(E41="ND",14-IF(D41="",0,VLOOKUP(D41,Datenblatt!$L$2:$M$30,2,FALSE)),IF(E41="ND12,5",2,0)))&lt;0,0,(IF(E41="ND",14-IF(D41="",0,VLOOKUP(D41,Datenblatt!$L$2:$M$30,2,FALSE)),IF(E41="ND12,5",2,0))))</f>
        <v>0</v>
      </c>
      <c r="AC41" s="214">
        <f t="shared" si="4"/>
        <v>0</v>
      </c>
      <c r="AD41" s="214">
        <f t="shared" si="5"/>
        <v>0</v>
      </c>
      <c r="AE41" s="214">
        <f t="shared" si="8"/>
        <v>0</v>
      </c>
      <c r="AF41" s="112">
        <f t="shared" si="9"/>
        <v>0</v>
      </c>
      <c r="AG41" s="112">
        <f t="shared" si="10"/>
        <v>0</v>
      </c>
      <c r="AH41" s="112">
        <f>IF(E41="",0,VLOOKUP(E41,Datenblatt!$E$2:$G$28,3,FALSE))</f>
        <v>0</v>
      </c>
    </row>
    <row r="42" spans="1:34" ht="13" customHeight="1">
      <c r="A42" s="89" t="str">
        <f>IF(ISERROR(VLOOKUP(C42,Datenblatt!$B$84:$B$97,1,FALSE)),"","Ft")</f>
        <v/>
      </c>
      <c r="B42" s="84">
        <f t="shared" si="0"/>
        <v>45655</v>
      </c>
      <c r="C42" s="86">
        <f>C41+1</f>
        <v>45655</v>
      </c>
      <c r="D42" s="67"/>
      <c r="E42" s="67"/>
      <c r="F42" s="68"/>
      <c r="G42" s="69"/>
      <c r="H42" s="68"/>
      <c r="I42" s="68"/>
      <c r="J42" s="99"/>
      <c r="K42" s="21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20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10" t="str">
        <f>IF(D42="","",IF(E41="ND",VLOOKUP(D42,Datenblatt!$A$2:$C$31,3,FALSE)-1,IF(E41="ND12,5",VLOOKUP(D42,Datenblatt!$A$2:$C$31,3,FALSE)-0.5,VLOOKUP(D42,Datenblatt!$A$2:$C$31,3,FALSE))))</f>
        <v/>
      </c>
      <c r="N42" s="211" t="str">
        <f t="shared" si="2"/>
        <v/>
      </c>
      <c r="O42" s="211">
        <f t="shared" si="3"/>
        <v>0</v>
      </c>
      <c r="P42" s="186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103" t="str">
        <f>IF(D42="","",VLOOKUP(D42,Datenblatt!$A$2:$D$31,4,FALSE))</f>
        <v/>
      </c>
      <c r="R42" s="104" t="str">
        <f>IF(E42="","",VLOOKUP(E42,Datenblatt!$E$2:$G$28,2,FALSE))</f>
        <v/>
      </c>
      <c r="S42" s="106"/>
      <c r="T42" s="111">
        <f t="shared" si="7"/>
        <v>0</v>
      </c>
      <c r="U42" s="114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12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12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54">
        <f t="array" ref="X42">IF(T42=0,0,IF((AND((ROW(T42)=MATCH(TRUE,($T$1:$T$44)&gt;0,0)))),IF(W42&gt;=6,W42-6,0),IF(W42&gt;=2,2,W42)))</f>
        <v>0</v>
      </c>
      <c r="Y42" s="254">
        <f t="array" ref="Y42">IF(T41=0,0,(IF((AND((ROW(T41)=MATCH(TRUE,($T$1:$T$44)&gt;0,0)))),IF(W41&gt;=6,6,W41),IF(W41&gt;=2,W41-2,0))))</f>
        <v>0</v>
      </c>
      <c r="Z42" s="111" t="str">
        <f t="shared" si="1"/>
        <v/>
      </c>
      <c r="AA42" s="214">
        <f>IF(E41="ND",IF(ISERROR(MATCH(D42,Datenblatt!$L$2:$L$18,0)),3,2),IF(E41="ND12,5",IF(ISERROR(MATCH(D42,Datenblatt!$L$2:$L$18,0)),2.5,2),0))</f>
        <v>0</v>
      </c>
      <c r="AB42" s="214">
        <f>IF((IF(E42="ND",14-IF(D42="",0,VLOOKUP(D42,Datenblatt!$L$2:$M$30,2,FALSE)),IF(E42="ND12,5",2,0)))&lt;0,0,(IF(E42="ND",14-IF(D42="",0,VLOOKUP(D42,Datenblatt!$L$2:$M$30,2,FALSE)),IF(E42="ND12,5",2,0))))</f>
        <v>0</v>
      </c>
      <c r="AC42" s="214">
        <f t="shared" si="4"/>
        <v>0</v>
      </c>
      <c r="AD42" s="214">
        <f t="shared" si="5"/>
        <v>0</v>
      </c>
      <c r="AE42" s="214">
        <f t="shared" si="8"/>
        <v>0</v>
      </c>
      <c r="AF42" s="112">
        <f t="shared" si="9"/>
        <v>0</v>
      </c>
      <c r="AG42" s="112">
        <f t="shared" si="10"/>
        <v>0</v>
      </c>
      <c r="AH42" s="112">
        <f>IF(E42="",0,VLOOKUP(E42,Datenblatt!$E$2:$G$28,3,FALSE))</f>
        <v>0</v>
      </c>
    </row>
    <row r="43" spans="1:34" ht="13" customHeight="1">
      <c r="A43" s="89" t="str">
        <f>IF(ISERROR(VLOOKUP(C43,Datenblatt!$B$84:$B$97,1,FALSE)),"","Ft")</f>
        <v/>
      </c>
      <c r="B43" s="84">
        <f t="shared" si="0"/>
        <v>45656</v>
      </c>
      <c r="C43" s="87">
        <f>C42+1</f>
        <v>45656</v>
      </c>
      <c r="D43" s="67"/>
      <c r="E43" s="67"/>
      <c r="F43" s="68"/>
      <c r="G43" s="69"/>
      <c r="H43" s="68"/>
      <c r="I43" s="68"/>
      <c r="J43" s="99"/>
      <c r="K43" s="21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209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210" t="str">
        <f>IF(D43="","",IF(E42="ND",VLOOKUP(D43,Datenblatt!$A$2:$C$31,3,FALSE)-1,IF(E42="ND12,5",VLOOKUP(D43,Datenblatt!$A$2:$C$31,3,FALSE)-0.5,VLOOKUP(D43,Datenblatt!$A$2:$C$31,3,FALSE))))</f>
        <v/>
      </c>
      <c r="N43" s="211" t="str">
        <f t="shared" si="2"/>
        <v/>
      </c>
      <c r="O43" s="211" t="str">
        <f t="shared" si="3"/>
        <v/>
      </c>
      <c r="P43" s="186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103" t="str">
        <f>IF(D43="","",VLOOKUP(D43,Datenblatt!$A$2:$D$31,4,FALSE))</f>
        <v/>
      </c>
      <c r="R43" s="104" t="str">
        <f>IF(E43="","",VLOOKUP(E43,Datenblatt!$E$2:$G$28,2,FALSE))</f>
        <v/>
      </c>
      <c r="S43" s="107"/>
      <c r="T43" s="111">
        <f t="shared" si="7"/>
        <v>0</v>
      </c>
      <c r="U43" s="114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12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12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54">
        <f t="array" ref="X43">IF(T43=0,0,IF((AND((ROW(T43)=MATCH(TRUE,($T$1:$T$44)&gt;0,0)))),IF(W43&gt;=6,W43-6,0),IF(W43&gt;=2,2,W43)))</f>
        <v>0</v>
      </c>
      <c r="Y43" s="254">
        <f t="array" ref="Y43">IF(T42=0,0,(IF((AND((ROW(T42)=MATCH(TRUE,($T$1:$T$44)&gt;0,0)))),IF(W42&gt;=6,6,W42),IF(W42&gt;=2,W42-2,0))))</f>
        <v>0</v>
      </c>
      <c r="Z43" s="111" t="str">
        <f t="shared" si="1"/>
        <v/>
      </c>
      <c r="AA43" s="214">
        <f>IF(E42="ND",IF(ISERROR(MATCH(D43,Datenblatt!$L$2:$L$18,0)),3,2),IF(E42="ND12,5",IF(ISERROR(MATCH(D43,Datenblatt!$L$2:$L$18,0)),2.5,2),0))</f>
        <v>0</v>
      </c>
      <c r="AB43" s="214">
        <f>IF((IF(E43="ND",14-IF(D43="",0,VLOOKUP(D43,Datenblatt!$L$2:$M$30,2,FALSE)),IF(E43="ND12,5",2,0)))&lt;0,0,(IF(E43="ND",14-IF(D43="",0,VLOOKUP(D43,Datenblatt!$L$2:$M$30,2,FALSE)),IF(E43="ND12,5",2,0))))</f>
        <v>0</v>
      </c>
      <c r="AC43" s="214">
        <f t="shared" si="4"/>
        <v>0</v>
      </c>
      <c r="AD43" s="214">
        <f t="shared" si="5"/>
        <v>0</v>
      </c>
      <c r="AE43" s="214">
        <f t="shared" si="8"/>
        <v>0</v>
      </c>
      <c r="AF43" s="112">
        <f t="shared" si="9"/>
        <v>0</v>
      </c>
      <c r="AG43" s="112">
        <f t="shared" si="10"/>
        <v>0</v>
      </c>
      <c r="AH43" s="112">
        <f>IF(E43="",0,VLOOKUP(E43,Datenblatt!$E$2:$G$28,3,FALSE))</f>
        <v>0</v>
      </c>
    </row>
    <row r="44" spans="1:34" ht="13" customHeight="1">
      <c r="A44" s="89" t="str">
        <f>IF(ISERROR(VLOOKUP(C44,Datenblatt!$B$84:$B$97,1,FALSE)),"","Ft")</f>
        <v/>
      </c>
      <c r="B44" s="159">
        <f t="shared" si="0"/>
        <v>45657</v>
      </c>
      <c r="C44" s="160">
        <f>C43+1</f>
        <v>45657</v>
      </c>
      <c r="D44" s="67"/>
      <c r="E44" s="67"/>
      <c r="F44" s="68"/>
      <c r="G44" s="69"/>
      <c r="H44" s="68"/>
      <c r="I44" s="68"/>
      <c r="J44" s="99"/>
      <c r="K44" s="212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209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210" t="str">
        <f>IF(D44="","",IF(E43="ND",VLOOKUP(D44,Datenblatt!$A$2:$C$31,3,FALSE)-1,IF(E43="ND12,5",VLOOKUP(D44,Datenblatt!$A$2:$C$31,3,FALSE)-0.5,VLOOKUP(D44,Datenblatt!$A$2:$C$31,3,FALSE)-M45)))</f>
        <v/>
      </c>
      <c r="N44" s="211" t="str">
        <f t="shared" si="2"/>
        <v/>
      </c>
      <c r="O44" s="211" t="str">
        <f t="shared" si="3"/>
        <v/>
      </c>
      <c r="P44" s="186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103" t="str">
        <f>IF(D44="","",VLOOKUP(D44,Datenblatt!$A$2:$D$31,4,FALSE))</f>
        <v/>
      </c>
      <c r="R44" s="104" t="str">
        <f>IF(E44="","",VLOOKUP(E44,Datenblatt!$E$2:$G$28,2,FALSE))</f>
        <v/>
      </c>
      <c r="S44" s="107"/>
      <c r="T44" s="111">
        <f t="shared" si="7"/>
        <v>0</v>
      </c>
      <c r="U44" s="114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12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12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54">
        <f t="array" ref="X44">IF(T44=0,0,IF((AND((ROW(T44)=MATCH(TRUE,($T$1:$T$44)&gt;0,0)))),IF(W44&gt;=0,W44-0,0),IF(W44&gt;=2,2,W44)))</f>
        <v>0</v>
      </c>
      <c r="Y44" s="254">
        <f t="array" ref="Y44">IF(T43=0,0,(IF((AND((ROW(T43)=MATCH(TRUE,($T$1:$T$44)&gt;0,0)))),IF(W43&gt;=6,6,W43),IF(W43&gt;=2,W43-2,0))))</f>
        <v>0</v>
      </c>
      <c r="Z44" s="111" t="str">
        <f t="shared" si="1"/>
        <v/>
      </c>
      <c r="AA44" s="214">
        <f>IF(E43="ND",IF(ISERROR(MATCH(D44,Datenblatt!$L$2:$L$18,0)),3,2),IF(E43="ND12,5",IF(ISERROR(MATCH(D44,Datenblatt!$L$2:$L$18,0)),2.5,2),0))</f>
        <v>0</v>
      </c>
      <c r="AB44" s="214">
        <f>IF((IF(E44="ND",14-IF(D44="",0,VLOOKUP(D44,Datenblatt!$L$2:$M$30,2,FALSE)),IF(E44="ND12,5",2,0)))&lt;0,0,(IF(E44="ND",14-IF(D44="",0,VLOOKUP(D44,Datenblatt!$L$2:$M$30,2,FALSE)),IF(E44="ND12,5",2,0))))</f>
        <v>0</v>
      </c>
      <c r="AC44" s="214">
        <f t="shared" si="4"/>
        <v>0</v>
      </c>
      <c r="AD44" s="214">
        <f t="shared" si="5"/>
        <v>0</v>
      </c>
      <c r="AE44" s="214">
        <f t="shared" si="8"/>
        <v>0</v>
      </c>
      <c r="AF44" s="112">
        <f t="shared" si="9"/>
        <v>0</v>
      </c>
      <c r="AG44" s="112">
        <f t="shared" si="10"/>
        <v>0</v>
      </c>
      <c r="AH44" s="112">
        <f>IF(E44="",0,VLOOKUP(E44,Datenblatt!$E$2:$G$28,3,FALSE))</f>
        <v>0</v>
      </c>
    </row>
    <row r="45" spans="1:34" ht="13" customHeight="1" thickBot="1">
      <c r="A45" s="227" t="str">
        <f>IF(ISERROR(VLOOKUP(C45,Datenblatt!$B$84:$B$97,1,FALSE)),"","Ft")</f>
        <v/>
      </c>
      <c r="B45" s="153"/>
      <c r="C45" s="150"/>
      <c r="D45" s="150"/>
      <c r="E45" s="150"/>
      <c r="F45" s="150"/>
      <c r="G45" s="150"/>
      <c r="H45" s="150"/>
      <c r="I45" s="150"/>
      <c r="J45" s="154">
        <f>SUM(J14:J44)</f>
        <v>0</v>
      </c>
      <c r="K45" s="213">
        <f>SUM(K14:K44)</f>
        <v>0</v>
      </c>
      <c r="L45" s="172" t="str">
        <f>IF(D44="ND",9,IF(D44="ND12,5",8.5,"0"))</f>
        <v>0</v>
      </c>
      <c r="M45" s="172" t="str">
        <f>IF(D44="ND",9,IF(D44="ND12,5",8.5,"0"))</f>
        <v>0</v>
      </c>
      <c r="N45" s="221">
        <f t="shared" ref="N45:O45" si="11">SUM(N14:N44)</f>
        <v>0</v>
      </c>
      <c r="O45" s="221">
        <f t="shared" si="11"/>
        <v>0</v>
      </c>
      <c r="P45" s="197">
        <f>SUM(P14:P44)</f>
        <v>0</v>
      </c>
      <c r="Q45" s="173"/>
      <c r="R45" s="156"/>
      <c r="S45" s="157"/>
      <c r="T45" s="155"/>
      <c r="U45" s="115"/>
      <c r="V45" s="116"/>
      <c r="W45" s="116"/>
      <c r="X45" s="116"/>
      <c r="Y45" s="116"/>
      <c r="Z45" s="155"/>
      <c r="AA45" s="215"/>
      <c r="AB45" s="215"/>
      <c r="AC45" s="215"/>
      <c r="AD45" s="215"/>
      <c r="AE45" s="215"/>
      <c r="AF45" s="118"/>
      <c r="AG45" s="118"/>
    </row>
    <row r="46" spans="1:34" s="80" customFormat="1" ht="0.75" customHeight="1" thickBot="1">
      <c r="A46" s="470"/>
      <c r="B46" s="70"/>
      <c r="C46" s="71"/>
      <c r="D46" s="72"/>
      <c r="E46" s="102"/>
      <c r="F46" s="73"/>
      <c r="G46" s="74"/>
      <c r="H46" s="75"/>
      <c r="I46" s="74"/>
      <c r="J46" s="76"/>
      <c r="K46" s="102"/>
      <c r="L46" s="73"/>
      <c r="M46" s="77"/>
      <c r="N46" s="77"/>
      <c r="O46" s="78"/>
      <c r="P46" s="79"/>
      <c r="Q46" s="74"/>
      <c r="R46" s="70"/>
      <c r="T46" s="117"/>
      <c r="U46" s="117"/>
      <c r="V46" s="117"/>
      <c r="W46" s="117"/>
      <c r="X46" s="117"/>
      <c r="Y46" s="117"/>
      <c r="Z46" s="187"/>
      <c r="AA46" s="216"/>
      <c r="AB46" s="216"/>
      <c r="AC46" s="216"/>
      <c r="AD46" s="216"/>
      <c r="AE46" s="216"/>
      <c r="AF46" s="243"/>
      <c r="AG46" s="243"/>
      <c r="AH46" s="300"/>
    </row>
    <row r="47" spans="1:34" s="66" customFormat="1">
      <c r="A47" s="227"/>
      <c r="B47" s="168" t="s">
        <v>147</v>
      </c>
      <c r="C47" s="168"/>
      <c r="D47" s="59"/>
      <c r="E47" s="59"/>
      <c r="F47" s="56"/>
      <c r="G47" s="56"/>
      <c r="H47" s="56"/>
      <c r="I47" s="251"/>
      <c r="J47" s="251"/>
      <c r="K47" s="251"/>
      <c r="L47" s="542" t="s">
        <v>289</v>
      </c>
      <c r="M47" s="542"/>
      <c r="N47" s="542"/>
      <c r="O47" s="543"/>
      <c r="P47" s="201" t="s">
        <v>146</v>
      </c>
      <c r="Q47" s="348">
        <f>IF($P$47="ja",SUMPRODUCT((WEEKDAY($B$14:$B$44,2)=1)*2),0)</f>
        <v>0</v>
      </c>
      <c r="R47" s="158"/>
      <c r="S47" s="171"/>
      <c r="T47" s="118"/>
      <c r="U47" s="118"/>
      <c r="V47" s="118"/>
      <c r="W47" s="118"/>
      <c r="X47" s="118"/>
      <c r="Y47" s="118"/>
      <c r="Z47" s="188"/>
      <c r="AA47" s="217"/>
      <c r="AB47" s="217"/>
      <c r="AC47" s="217"/>
      <c r="AD47" s="217"/>
      <c r="AE47" s="217"/>
      <c r="AF47" s="118"/>
      <c r="AG47" s="118"/>
      <c r="AH47" s="301"/>
    </row>
    <row r="48" spans="1:34" s="66" customFormat="1">
      <c r="A48" s="227"/>
      <c r="B48" s="191" t="str">
        <f>"Verrechnung von Sonderzahlungen, Überstunden, Nachtgutstunden und Nachtdiensten erfolgt im Folgemonat"&amp;" "&amp;Start!$B$15</f>
        <v>Verrechnung von Sonderzahlungen, Überstunden, Nachtgutstunden und Nachtdiensten erfolgt im Folgemonat Jänner</v>
      </c>
      <c r="C48" s="168"/>
      <c r="D48" s="59"/>
      <c r="E48" s="59"/>
      <c r="F48" s="56"/>
      <c r="G48" s="56"/>
      <c r="H48" s="82"/>
      <c r="I48" s="82"/>
      <c r="J48" s="83"/>
      <c r="K48" s="83"/>
      <c r="L48" s="538" t="s">
        <v>290</v>
      </c>
      <c r="M48" s="538"/>
      <c r="N48" s="538"/>
      <c r="O48" s="539"/>
      <c r="P48" s="204" t="s">
        <v>292</v>
      </c>
      <c r="Q48" s="347" t="str">
        <f>IF($P$48="Freizeit","       als Gutstunden abgerechnet","       im Folgemonat ausbezahlt")</f>
        <v xml:space="preserve">       als Gutstunden abgerechnet</v>
      </c>
      <c r="R48" s="203"/>
      <c r="S48" s="192"/>
      <c r="T48" s="118"/>
      <c r="U48" s="118"/>
      <c r="V48" s="118"/>
      <c r="W48" s="118"/>
      <c r="X48" s="118"/>
      <c r="Y48" s="118"/>
      <c r="Z48" s="188"/>
      <c r="AA48" s="217"/>
      <c r="AB48" s="217"/>
      <c r="AC48" s="217"/>
      <c r="AD48" s="217"/>
      <c r="AE48" s="217"/>
      <c r="AF48" s="118"/>
      <c r="AG48" s="118"/>
      <c r="AH48" s="301"/>
    </row>
    <row r="49" spans="1:34" s="66" customFormat="1" ht="13.5" customHeight="1" thickBot="1">
      <c r="A49" s="227"/>
      <c r="B49" s="168"/>
      <c r="C49" s="168"/>
      <c r="D49" s="59"/>
      <c r="E49" s="59"/>
      <c r="F49" s="56"/>
      <c r="G49" s="56"/>
      <c r="H49" s="82"/>
      <c r="I49" s="82"/>
      <c r="J49" s="83"/>
      <c r="K49" s="83"/>
      <c r="L49" s="88"/>
      <c r="M49" s="88"/>
      <c r="N49" s="59"/>
      <c r="O49" s="59"/>
      <c r="P49" s="59"/>
      <c r="S49" s="56"/>
      <c r="T49" s="118"/>
      <c r="U49" s="118"/>
      <c r="V49" s="118"/>
      <c r="W49" s="118"/>
      <c r="X49" s="118"/>
      <c r="Y49" s="118"/>
      <c r="Z49" s="188"/>
      <c r="AA49" s="217"/>
      <c r="AB49" s="217"/>
      <c r="AC49" s="217"/>
      <c r="AD49" s="217"/>
      <c r="AE49" s="217"/>
      <c r="AF49" s="118"/>
      <c r="AG49" s="118"/>
      <c r="AH49" s="301"/>
    </row>
    <row r="50" spans="1:34" s="59" customFormat="1" ht="13" customHeight="1">
      <c r="A50" s="471"/>
      <c r="B50" s="452" t="s">
        <v>248</v>
      </c>
      <c r="C50" s="608" t="s">
        <v>249</v>
      </c>
      <c r="D50" s="608"/>
      <c r="E50" s="453" t="s">
        <v>412</v>
      </c>
      <c r="F50" s="272"/>
      <c r="G50" s="317" t="s">
        <v>83</v>
      </c>
      <c r="H50" s="318"/>
      <c r="I50" s="322"/>
      <c r="J50" s="322"/>
      <c r="K50" s="322"/>
      <c r="L50" s="319">
        <f>$Q$6</f>
        <v>5365.31</v>
      </c>
      <c r="N50" s="612" t="str">
        <f>"Monatsprofil"&amp;" "&amp;Start!$B$26</f>
        <v>Monatsprofil Dezember</v>
      </c>
      <c r="O50" s="613"/>
      <c r="P50" s="614"/>
      <c r="T50" s="242"/>
      <c r="U50" s="242"/>
      <c r="V50" s="242"/>
      <c r="W50" s="242"/>
      <c r="X50" s="242"/>
      <c r="Y50" s="242"/>
      <c r="Z50" s="188"/>
      <c r="AA50" s="217"/>
      <c r="AB50" s="217"/>
      <c r="AC50" s="217"/>
      <c r="AD50" s="217"/>
      <c r="AE50" s="217"/>
      <c r="AF50" s="242"/>
      <c r="AG50" s="242"/>
      <c r="AH50" s="302"/>
    </row>
    <row r="51" spans="1:34" s="89" customFormat="1" ht="13" customHeight="1">
      <c r="A51" s="227"/>
      <c r="B51" s="355">
        <f>COUNTIF($D$14:$E$44,"U")-COUNTIFS($D$14:$D$44,"U",$E$14:$E$44,"K")-COUNTIFS($D$14:$D$44,"U",$E$14:$E$44,"PK")</f>
        <v>0</v>
      </c>
      <c r="C51" s="454" t="s">
        <v>18</v>
      </c>
      <c r="D51" s="455">
        <f>SUMIFS($P$14:$P$44,$D$14:$D$44,"U")+SUMIFS($P$14:$P$44,$E$14:$E$44,"U")</f>
        <v>0</v>
      </c>
      <c r="E51" s="456"/>
      <c r="F51" s="316"/>
      <c r="G51" s="341" t="s">
        <v>354</v>
      </c>
      <c r="H51" s="342"/>
      <c r="I51" s="343"/>
      <c r="J51" s="343"/>
      <c r="K51" s="343"/>
      <c r="L51" s="344">
        <f>IF(OR(Start!$D$8=Gehalt!$K$37,Start!$D$8=Gehalt!$K$39,Start!$D$8=Gehalt!$K$41),Gehalt!$C$29,0)</f>
        <v>0</v>
      </c>
      <c r="N51" s="615"/>
      <c r="O51" s="616"/>
      <c r="P51" s="617"/>
      <c r="T51" s="278" t="s">
        <v>398</v>
      </c>
      <c r="U51" s="119">
        <f>SUMPRODUCT(($U$14:$U$44)*(ISNUMBER(FIND("Ft",$A$14:$A$44))))+SUMPRODUCT((($U$14:$U$44)*1)*(WEEKDAY($B$14:$B$44,2)=7))-SUMPRODUCT((($U$14:$U$44)*1)*(WEEKDAY($B$14:$B$44,2)=7)*(ISNUMBER(FIND("Ft",$A$14:$A$44))))</f>
        <v>0</v>
      </c>
      <c r="V51" s="119">
        <f>SUMPRODUCT(($V$14:$V$44)*(ISNUMBER(FIND("Ft",$A$14:$A$44))))+SUMPRODUCT((($V$14:$V$44)*1)*(WEEKDAY($B$14:$B$44,2)=7))-SUMPRODUCT((($V$14:$V$44)*1)*(WEEKDAY($B$14:$B$44,2)=7)*(ISNUMBER(FIND("Ft",$A$14:$A$44))))</f>
        <v>0</v>
      </c>
      <c r="W51" s="119">
        <f>SUM($W$14:$W$44)</f>
        <v>0</v>
      </c>
      <c r="X51" s="255"/>
      <c r="Y51" s="256"/>
      <c r="Z51" s="278" t="s">
        <v>398</v>
      </c>
      <c r="AA51" s="214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14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14">
        <f>SUM($AC$14:$AC$44)</f>
        <v>0</v>
      </c>
      <c r="AD51" s="214">
        <f>SUM($AD$14:$AD$44)</f>
        <v>0</v>
      </c>
      <c r="AE51" s="217"/>
      <c r="AF51" s="188"/>
      <c r="AG51" s="278" t="s">
        <v>398</v>
      </c>
      <c r="AH51" s="214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1:34" s="89" customFormat="1" ht="13" customHeight="1">
      <c r="A52" s="227"/>
      <c r="B52" s="355">
        <f>COUNTIF($D$14:$E$44,"ZA")-COUNTIFS($D$14:$D$44,"ZA",$E$14:$E$44,"K")-COUNTIFS($D$14:$D$44,"ZA",$E$14:$E$44,"PK")</f>
        <v>0</v>
      </c>
      <c r="C52" s="454" t="s">
        <v>21</v>
      </c>
      <c r="D52" s="457">
        <f>SUMIFS($P$14:$P$44,$D$14:$D$44,"ZA")+SUMIFS($P$14:$P$44,$E$14:$E$44,"ZA")-$J$45</f>
        <v>0</v>
      </c>
      <c r="E52" s="458">
        <f>IF($P$48="Freizeit",SUM($N$45*1.5,$O$45*2),0)+$J$54*1.5</f>
        <v>0</v>
      </c>
      <c r="F52" s="272"/>
      <c r="G52" s="323" t="str">
        <f>"9545 Nachtdienstpauschale Gesamt ("&amp;""&amp;Gehalt!$N$25&amp;""&amp;"€/h)"</f>
        <v>9545 Nachtdienstpauschale Gesamt (29,44€/h)</v>
      </c>
      <c r="H52" s="151"/>
      <c r="I52" s="151"/>
      <c r="J52" s="151"/>
      <c r="K52" s="264">
        <f>SUM($AF$14:$AG$44)</f>
        <v>0</v>
      </c>
      <c r="L52" s="226">
        <f>$K$52*Gehalt!$N$25</f>
        <v>0</v>
      </c>
      <c r="N52" s="540" t="s">
        <v>237</v>
      </c>
      <c r="O52" s="541"/>
      <c r="P52" s="352">
        <f>VLOOKUP($B$8,Datenblatt!$A$100:$I$112,2,FALSE)</f>
        <v>31</v>
      </c>
      <c r="T52" s="279" t="s">
        <v>104</v>
      </c>
      <c r="U52" s="269">
        <f>SUM($U$14:$U$44)-$U$51</f>
        <v>0</v>
      </c>
      <c r="V52" s="269">
        <f>SUM($V$14:$V$44)-$V$51</f>
        <v>0</v>
      </c>
      <c r="W52" s="257"/>
      <c r="X52" s="265"/>
      <c r="Y52" s="256"/>
      <c r="Z52" s="280" t="s">
        <v>104</v>
      </c>
      <c r="AA52" s="214">
        <f>SUM($AA$14:$AA$44)-$AA$51</f>
        <v>0</v>
      </c>
      <c r="AB52" s="214">
        <f>SUM($AB$14:$AB$44)-$AB$51</f>
        <v>0</v>
      </c>
      <c r="AC52" s="260"/>
      <c r="AD52" s="261"/>
      <c r="AE52" s="217"/>
      <c r="AF52" s="188"/>
      <c r="AG52" s="280" t="s">
        <v>104</v>
      </c>
      <c r="AH52" s="214">
        <f>SUM($AH$14:$AH$44)-$AH$51</f>
        <v>0</v>
      </c>
    </row>
    <row r="53" spans="1:34" s="89" customFormat="1" ht="13" customHeight="1">
      <c r="A53" s="227"/>
      <c r="B53" s="355">
        <f>COUNTIF($D$14:$E$44,"RG")-COUNTIFS($D$14:$D$44,"U",$E$14:$E$44,"RG")-COUNTIFS($D$14:$D$44,"RG",$E$14:$E$44,"PK")</f>
        <v>0</v>
      </c>
      <c r="C53" s="359" t="s">
        <v>132</v>
      </c>
      <c r="D53" s="455">
        <f>SUMIFS($P$14:$P$44,$D$14:$D$44,"RG")+SUMIFS($P$14:$P$44,$E$14:$E$44,"RG")</f>
        <v>0</v>
      </c>
      <c r="E53" s="459">
        <f>$Q$47</f>
        <v>0</v>
      </c>
      <c r="G53" s="323" t="str">
        <f>"9547 Sonn- und Feiertagszulage ("&amp;""&amp;Gehalt!$N$26&amp;""&amp;"€/h)"</f>
        <v>9547 Sonn- und Feiertagszulage (18,5€/h)</v>
      </c>
      <c r="H53" s="151"/>
      <c r="I53" s="151"/>
      <c r="J53" s="151"/>
      <c r="K53" s="22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26">
        <f>$K$53*Gehalt!$N$26</f>
        <v>0</v>
      </c>
      <c r="N53" s="540" t="s">
        <v>238</v>
      </c>
      <c r="O53" s="541"/>
      <c r="P53" s="352">
        <f>VLOOKUP($B$8,Datenblatt!$A$100:$I$112,3,FALSE)</f>
        <v>3</v>
      </c>
      <c r="T53" s="277" t="s">
        <v>399</v>
      </c>
      <c r="U53" s="112">
        <f>SUMPRODUCT(($U$14:$U$44)*(ISNUMBER(FIND("Ft",$A$14:$A$44))))+SUMPRODUCT((($U$14:$U$44)*1)*(WEEKDAY($B$14:$B$44,2)=7))-SUMPRODUCT((($U$14:$U$44)*1)*(WEEKDAY($B$14:$B$44,2)=7)*(ISNUMBER(FIND("Ft",$A$14:$A$44))))</f>
        <v>0</v>
      </c>
      <c r="V53" s="112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270"/>
      <c r="X53" s="112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12">
        <f>SUMPRODUCT(($Y$14:$Y$44)*(ISNUMBER(FIND("Ft",$A$14:$A$44))))+SUMPRODUCT((($Y$14:$Y$44)*1)*(WEEKDAY($B$14:$B$44,2)=7))-SUMPRODUCT((($Y$14:$Y$44)*1)*(WEEKDAY($B$14:$B$44,2)=7)*(ISNUMBER(FIND("Ft",$A$14:$A$44))))</f>
        <v>0</v>
      </c>
      <c r="Z53" s="258"/>
      <c r="AA53" s="258"/>
      <c r="AB53" s="258"/>
      <c r="AC53" s="259"/>
      <c r="AD53" s="259"/>
      <c r="AE53" s="188"/>
      <c r="AF53" s="188"/>
      <c r="AG53" s="188"/>
      <c r="AH53" s="302"/>
    </row>
    <row r="54" spans="1:34" s="89" customFormat="1" ht="13" customHeight="1">
      <c r="A54" s="227"/>
      <c r="B54" s="355">
        <f>COUNTIF($D$14:$E$44,"NDG")-COUNTIFS($D$14:$D$44,"NDG",$E$14:$E$44,"K")-COUNTIFS($D$14:$D$44,"NDG",$E$14:$E$44,"PK")</f>
        <v>0</v>
      </c>
      <c r="C54" s="359" t="s">
        <v>131</v>
      </c>
      <c r="D54" s="455">
        <f>SUMIFS($P$14:$P$44,$D$14:$D$44,"NDG")+SUMIFS($P$14:$P$44,$E$14:$E$44,"NDG")</f>
        <v>0</v>
      </c>
      <c r="E54" s="459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609" t="s">
        <v>295</v>
      </c>
      <c r="H54" s="610"/>
      <c r="I54" s="611"/>
      <c r="J54" s="390">
        <v>0</v>
      </c>
      <c r="K54" s="225">
        <f>IF($P$48="finanziell",SUM($L$62),0)+$L$66+$L$70-$J$54</f>
        <v>0</v>
      </c>
      <c r="L54" s="226">
        <f>$K$54*$L$60</f>
        <v>0</v>
      </c>
      <c r="M54" s="56"/>
      <c r="N54" s="540" t="s">
        <v>239</v>
      </c>
      <c r="O54" s="541"/>
      <c r="P54" s="352">
        <f>VLOOKUP($B$8,Datenblatt!$A$100:$I$112,4,FALSE)</f>
        <v>9</v>
      </c>
      <c r="Q54" s="56"/>
      <c r="T54" s="242"/>
      <c r="U54" s="242"/>
      <c r="V54" s="242"/>
      <c r="W54" s="188"/>
      <c r="X54" s="188"/>
      <c r="Y54" s="188"/>
      <c r="Z54" s="242"/>
      <c r="AA54" s="242"/>
      <c r="AB54" s="242"/>
      <c r="AC54" s="188"/>
      <c r="AD54" s="188"/>
      <c r="AE54" s="188"/>
      <c r="AF54" s="188"/>
      <c r="AG54" s="188"/>
      <c r="AH54" s="302"/>
    </row>
    <row r="55" spans="1:34" s="89" customFormat="1" ht="13" customHeight="1">
      <c r="A55" s="227"/>
      <c r="B55" s="460"/>
      <c r="C55" s="359" t="s">
        <v>170</v>
      </c>
      <c r="D55" s="455">
        <f>SUMIFS($M$14:$M$44,$D$14:$D$44,"U")</f>
        <v>0</v>
      </c>
      <c r="E55" s="456"/>
      <c r="G55" s="323" t="s">
        <v>227</v>
      </c>
      <c r="H55" s="151"/>
      <c r="I55" s="151"/>
      <c r="J55" s="151"/>
      <c r="K55" s="225">
        <f>IF($P$48="finanziell",SUM($L$63),0)+$L$71+$L$67</f>
        <v>0</v>
      </c>
      <c r="L55" s="226">
        <f>$K$55*$L$61</f>
        <v>0</v>
      </c>
      <c r="M55" s="59"/>
      <c r="N55" s="540" t="s">
        <v>240</v>
      </c>
      <c r="O55" s="541"/>
      <c r="P55" s="352">
        <f>VLOOKUP($B$8,Datenblatt!$A$100:$I$112,5,FALSE)</f>
        <v>20</v>
      </c>
      <c r="T55" s="242"/>
      <c r="U55" s="242"/>
      <c r="V55" s="242"/>
      <c r="W55" s="188"/>
      <c r="X55" s="188"/>
      <c r="Y55" s="188"/>
      <c r="Z55" s="242"/>
      <c r="AA55" s="242"/>
      <c r="AB55" s="242"/>
      <c r="AC55" s="188"/>
      <c r="AD55" s="188"/>
      <c r="AE55" s="188"/>
      <c r="AF55" s="188"/>
      <c r="AG55" s="188"/>
      <c r="AH55" s="302"/>
    </row>
    <row r="56" spans="1:34" s="89" customFormat="1" ht="13" customHeight="1">
      <c r="A56" s="227"/>
      <c r="B56" s="355">
        <f>COUNTIF($D$14:$E$44,"SU")-COUNTIFS($D$14:$D$44,"SU",$E$14:$E$44,"K")-COUNTIFS($D$14:$D$44,"SU",$E$14:$E$44,"PK")</f>
        <v>0</v>
      </c>
      <c r="C56" s="359" t="s">
        <v>172</v>
      </c>
      <c r="D56" s="455">
        <f>SUMIFS($M$14:$M$44,$D$14:$D$44,"SU")</f>
        <v>0</v>
      </c>
      <c r="E56" s="456"/>
      <c r="G56" s="323" t="s">
        <v>285</v>
      </c>
      <c r="H56" s="151"/>
      <c r="I56" s="151"/>
      <c r="J56" s="151"/>
      <c r="K56" s="394">
        <f ca="1">IF(November!$P$63-SUM(Start!$E$21:$E$26)*2&lt;=0,0,November!$P$63-SUM(Start!$E$21:$E$26)*2)</f>
        <v>0</v>
      </c>
      <c r="L56" s="226">
        <f ca="1">$K$56*(ROUNDDOWN((($Q$6-35)/173*1),2))</f>
        <v>0</v>
      </c>
      <c r="N56" s="540" t="s">
        <v>241</v>
      </c>
      <c r="O56" s="541"/>
      <c r="P56" s="352">
        <f>VLOOKUP($B$8,Datenblatt!$A$100:$I$112,7,FALSE)</f>
        <v>22</v>
      </c>
      <c r="T56" s="242"/>
      <c r="U56" s="242"/>
      <c r="V56" s="242"/>
      <c r="W56" s="188"/>
      <c r="X56" s="188"/>
      <c r="Y56" s="188"/>
      <c r="Z56" s="242"/>
      <c r="AA56" s="242"/>
      <c r="AB56" s="242"/>
      <c r="AC56" s="188"/>
      <c r="AD56" s="188"/>
      <c r="AE56" s="188"/>
      <c r="AF56" s="188"/>
      <c r="AG56" s="188"/>
      <c r="AH56" s="302"/>
    </row>
    <row r="57" spans="1:34" s="89" customFormat="1" ht="13" customHeight="1">
      <c r="A57" s="227"/>
      <c r="B57" s="355">
        <f>COUNTIF($D$14:$E$44,"PK")</f>
        <v>0</v>
      </c>
      <c r="C57" s="359" t="s">
        <v>171</v>
      </c>
      <c r="D57" s="455">
        <f>SUMIFS($M$14:$M$44,$D$14:$D$44,"PK")</f>
        <v>0</v>
      </c>
      <c r="E57" s="456"/>
      <c r="G57" s="391" t="s">
        <v>297</v>
      </c>
      <c r="H57" s="392"/>
      <c r="I57" s="392"/>
      <c r="J57" s="151"/>
      <c r="K57" s="225">
        <f>IF(OR(Start!$D$8=Gehalt!$K$37,Start!$D$8=Gehalt!$K$39,Start!$D$8=Gehalt!$K$41),SUMIFS($M$14:$M$44,$Q$14:$Q$44,"=Tagdienst*",$E$14:$E$44,"&lt;&gt;*")+SUMIFS($AH$14:$AH$44,$R$14:$R$44,"=Tagdienst*"),0)</f>
        <v>0</v>
      </c>
      <c r="L57" s="226">
        <f>$K$57*Gehalt!$C$28</f>
        <v>0</v>
      </c>
      <c r="N57" s="540" t="s">
        <v>236</v>
      </c>
      <c r="O57" s="541"/>
      <c r="P57" s="352">
        <f>VLOOKUP($B$8,Datenblatt!$A$100:$I$112,6,FALSE)</f>
        <v>160</v>
      </c>
      <c r="T57" s="242"/>
      <c r="U57" s="242"/>
      <c r="V57" s="242"/>
      <c r="W57" s="188"/>
      <c r="X57" s="188"/>
      <c r="Y57" s="188"/>
      <c r="Z57" s="242"/>
      <c r="AA57" s="242"/>
      <c r="AB57" s="242"/>
      <c r="AC57" s="188"/>
      <c r="AD57" s="188"/>
      <c r="AE57" s="188"/>
      <c r="AF57" s="188"/>
      <c r="AG57" s="188"/>
      <c r="AH57" s="302"/>
    </row>
    <row r="58" spans="1:34" s="89" customFormat="1" ht="13" customHeight="1">
      <c r="A58" s="227"/>
      <c r="B58" s="355">
        <f>COUNTIF($D$14:$E$44,"K")+COUNTIF($D$14:$E$44,"KA")</f>
        <v>0</v>
      </c>
      <c r="C58" s="359" t="s">
        <v>418</v>
      </c>
      <c r="D58" s="455">
        <f>SUMIFS($M$14:$M$44,$D$14:$D$44,"K")+SUMIFS($M$14:$M$44,$D$14:$D$44,"KA")</f>
        <v>0</v>
      </c>
      <c r="E58" s="456"/>
      <c r="G58" s="323" t="s">
        <v>296</v>
      </c>
      <c r="H58" s="151"/>
      <c r="I58" s="151"/>
      <c r="J58" s="393" t="s">
        <v>146</v>
      </c>
      <c r="K58" s="225"/>
      <c r="L58" s="226">
        <f>IF($J$58="ja",Gehalt!$C$27,0)</f>
        <v>0</v>
      </c>
      <c r="N58" s="618" t="str">
        <f>"Stundenkonto Monatsende"&amp;" "&amp;Start!$B$26</f>
        <v>Stundenkonto Monatsende Dezember</v>
      </c>
      <c r="O58" s="619"/>
      <c r="P58" s="620"/>
      <c r="T58" s="242"/>
      <c r="U58" s="242"/>
      <c r="V58" s="242"/>
      <c r="W58" s="188"/>
      <c r="X58" s="188"/>
      <c r="Y58" s="188"/>
      <c r="Z58" s="242"/>
      <c r="AA58" s="242"/>
      <c r="AB58" s="242"/>
      <c r="AC58" s="188"/>
      <c r="AD58" s="188"/>
      <c r="AE58" s="188"/>
      <c r="AF58" s="188"/>
      <c r="AG58" s="188"/>
      <c r="AH58" s="302"/>
    </row>
    <row r="59" spans="1:34" s="89" customFormat="1" ht="13" customHeight="1" thickBot="1">
      <c r="A59" s="227"/>
      <c r="B59" s="460"/>
      <c r="C59" s="359" t="s">
        <v>19</v>
      </c>
      <c r="D59" s="455">
        <f>COUNTIF($L$14:$L$44,"n.b.")</f>
        <v>0</v>
      </c>
      <c r="E59" s="456"/>
      <c r="G59" s="229" t="s">
        <v>362</v>
      </c>
      <c r="H59" s="230"/>
      <c r="I59" s="230"/>
      <c r="J59" s="230"/>
      <c r="K59" s="338"/>
      <c r="L59" s="228">
        <f ca="1">SUM(L52:L57)*12%</f>
        <v>0</v>
      </c>
      <c r="N59" s="615"/>
      <c r="O59" s="616"/>
      <c r="P59" s="617"/>
      <c r="T59" s="242"/>
      <c r="U59" s="188"/>
      <c r="V59" s="188"/>
      <c r="W59" s="188"/>
      <c r="X59" s="188"/>
      <c r="Y59" s="188"/>
      <c r="Z59" s="242"/>
      <c r="AA59" s="188"/>
      <c r="AB59" s="188"/>
      <c r="AC59" s="188"/>
      <c r="AD59" s="188"/>
      <c r="AE59" s="188"/>
      <c r="AF59" s="188"/>
      <c r="AG59" s="188"/>
      <c r="AH59" s="302"/>
    </row>
    <row r="60" spans="1:34" s="89" customFormat="1" ht="13" customHeight="1">
      <c r="A60" s="227"/>
      <c r="B60" s="355">
        <f>COUNTIF($D$14:$E$44,"DV")</f>
        <v>0</v>
      </c>
      <c r="C60" s="359" t="s">
        <v>111</v>
      </c>
      <c r="D60" s="455">
        <f>SUMIFS($P$14:$P$44,$D$14:$D$44,"DV")+SUMIFS($P$14:$P$44,$E$14:$E$44,"DV")</f>
        <v>0</v>
      </c>
      <c r="E60" s="456"/>
      <c r="G60" s="238" t="s">
        <v>298</v>
      </c>
      <c r="H60" s="239"/>
      <c r="I60" s="240"/>
      <c r="J60" s="240"/>
      <c r="K60" s="240"/>
      <c r="L60" s="241">
        <f>IF($Q$6="",0,ROUNDDOWN((($Q$6-35)/173*1.5),2))</f>
        <v>46.21</v>
      </c>
      <c r="N60" s="540" t="s">
        <v>234</v>
      </c>
      <c r="O60" s="541"/>
      <c r="P60" s="352">
        <f>Start!$C$30+SUM(Jänner:Dezember!$D$51)</f>
        <v>0</v>
      </c>
      <c r="T60" s="244"/>
      <c r="U60" s="188"/>
      <c r="V60" s="188"/>
      <c r="W60" s="188"/>
      <c r="X60" s="188"/>
      <c r="Y60" s="188"/>
      <c r="Z60" s="244"/>
      <c r="AA60" s="188"/>
      <c r="AB60" s="188"/>
      <c r="AC60" s="188"/>
      <c r="AD60" s="188"/>
      <c r="AE60" s="188"/>
      <c r="AF60" s="188"/>
      <c r="AG60" s="188"/>
      <c r="AH60" s="302"/>
    </row>
    <row r="61" spans="1:34" s="89" customFormat="1" ht="13" customHeight="1">
      <c r="A61" s="227"/>
      <c r="B61" s="355">
        <f>COUNTIF($D$14:$E$44,"WR")</f>
        <v>0</v>
      </c>
      <c r="C61" s="359" t="s">
        <v>126</v>
      </c>
      <c r="D61" s="466"/>
      <c r="E61" s="456"/>
      <c r="G61" s="360" t="s">
        <v>400</v>
      </c>
      <c r="H61" s="358"/>
      <c r="I61" s="357"/>
      <c r="J61" s="357"/>
      <c r="K61" s="357"/>
      <c r="L61" s="356">
        <f>IF($Q$6="",0,ROUNDDOWN((($Q$6-35)/173*2),2))</f>
        <v>61.62</v>
      </c>
      <c r="N61" s="540" t="s">
        <v>235</v>
      </c>
      <c r="O61" s="541"/>
      <c r="P61" s="353">
        <f>Start!$C$31+SUM(Jänner:Dezember!$D$52)+SUM(Jänner:Dezember!$E$52)</f>
        <v>0</v>
      </c>
      <c r="T61" s="244"/>
      <c r="U61" s="188"/>
      <c r="V61" s="188"/>
      <c r="W61" s="188"/>
      <c r="X61" s="188"/>
      <c r="Y61" s="188"/>
      <c r="Z61" s="244"/>
      <c r="AA61" s="188"/>
      <c r="AB61" s="188"/>
      <c r="AC61" s="188"/>
      <c r="AD61" s="188"/>
      <c r="AE61" s="188"/>
      <c r="AF61" s="188"/>
      <c r="AG61" s="188"/>
      <c r="AH61" s="302"/>
    </row>
    <row r="62" spans="1:34" s="59" customFormat="1" ht="13" customHeight="1">
      <c r="A62" s="471"/>
      <c r="B62" s="478"/>
      <c r="C62" s="478"/>
      <c r="D62" s="478"/>
      <c r="E62" s="478"/>
      <c r="G62" s="374" t="s">
        <v>392</v>
      </c>
      <c r="H62" s="375"/>
      <c r="I62" s="125"/>
      <c r="J62" s="125"/>
      <c r="K62" s="125"/>
      <c r="L62" s="376">
        <f>SUM($N$14:$N$44)</f>
        <v>0</v>
      </c>
      <c r="M62" s="89"/>
      <c r="N62" s="540" t="s">
        <v>148</v>
      </c>
      <c r="O62" s="541"/>
      <c r="P62" s="352">
        <f>Start!$C$32+SUM(Jänner:Dezember!$D$53)+SUM(Jänner:Dezember!$E$53)</f>
        <v>0</v>
      </c>
      <c r="Q62" s="89"/>
      <c r="T62" s="244"/>
      <c r="U62" s="242"/>
      <c r="V62" s="242"/>
      <c r="W62" s="242"/>
      <c r="X62" s="242"/>
      <c r="Y62" s="242"/>
      <c r="Z62" s="244"/>
      <c r="AA62" s="242"/>
      <c r="AB62" s="242"/>
      <c r="AC62" s="242"/>
      <c r="AD62" s="242"/>
      <c r="AE62" s="242"/>
      <c r="AF62" s="242"/>
      <c r="AG62" s="242"/>
      <c r="AH62" s="302"/>
    </row>
    <row r="63" spans="1:34" s="59" customFormat="1" ht="13" customHeight="1">
      <c r="A63" s="471"/>
      <c r="G63" s="374" t="s">
        <v>102</v>
      </c>
      <c r="H63" s="375"/>
      <c r="I63" s="125"/>
      <c r="J63" s="125"/>
      <c r="K63" s="125"/>
      <c r="L63" s="376">
        <f>SUM($O$14:$O$44)</f>
        <v>0</v>
      </c>
      <c r="M63" s="89"/>
      <c r="N63" s="544" t="s">
        <v>166</v>
      </c>
      <c r="O63" s="545"/>
      <c r="P63" s="354">
        <f ca="1">Start!$C$33+SUM(Jänner:Dezember!$D$54)+SUM(Jänner:Dezember!$E$54)-SUM(Jänner:Dezember!$K$56)</f>
        <v>0</v>
      </c>
      <c r="Q63" s="89"/>
      <c r="T63" s="244"/>
      <c r="U63" s="242"/>
      <c r="V63" s="242"/>
      <c r="W63" s="242"/>
      <c r="X63" s="242"/>
      <c r="Y63" s="242"/>
      <c r="Z63" s="244"/>
      <c r="AA63" s="242"/>
      <c r="AB63" s="242"/>
      <c r="AC63" s="242"/>
      <c r="AD63" s="242"/>
      <c r="AE63" s="242"/>
      <c r="AF63" s="242"/>
      <c r="AG63" s="242"/>
      <c r="AH63" s="302"/>
    </row>
    <row r="64" spans="1:34" s="59" customFormat="1" ht="13" customHeight="1">
      <c r="A64" s="471"/>
      <c r="E64" s="140"/>
      <c r="G64" s="374" t="s">
        <v>98</v>
      </c>
      <c r="H64" s="375"/>
      <c r="I64" s="125"/>
      <c r="J64" s="125"/>
      <c r="K64" s="125"/>
      <c r="L64" s="377">
        <f>$L$62*$L$60</f>
        <v>0</v>
      </c>
      <c r="M64" s="89"/>
      <c r="N64" s="546" t="str">
        <f>"Bisheriger Verbrauch"&amp;" "&amp;Start!$D$2</f>
        <v>Bisheriger Verbrauch 2024</v>
      </c>
      <c r="O64" s="547"/>
      <c r="P64" s="548"/>
      <c r="Q64" s="89"/>
      <c r="T64" s="244"/>
      <c r="U64" s="242"/>
      <c r="V64" s="242"/>
      <c r="W64" s="242"/>
      <c r="X64" s="242"/>
      <c r="Y64" s="242"/>
      <c r="Z64" s="244"/>
      <c r="AA64" s="242"/>
      <c r="AB64" s="242"/>
      <c r="AC64" s="242"/>
      <c r="AD64" s="242"/>
      <c r="AE64" s="242"/>
      <c r="AF64" s="242"/>
      <c r="AG64" s="242"/>
      <c r="AH64" s="302"/>
    </row>
    <row r="65" spans="1:34" s="59" customFormat="1" ht="13" customHeight="1">
      <c r="A65" s="471"/>
      <c r="E65" s="140"/>
      <c r="G65" s="267" t="s">
        <v>99</v>
      </c>
      <c r="H65" s="268"/>
      <c r="I65" s="378"/>
      <c r="J65" s="378"/>
      <c r="K65" s="378"/>
      <c r="L65" s="379">
        <f>$L$63*$L$61</f>
        <v>0</v>
      </c>
      <c r="M65" s="89"/>
      <c r="N65" s="549"/>
      <c r="O65" s="550"/>
      <c r="P65" s="551"/>
      <c r="Q65" s="89"/>
      <c r="T65" s="244"/>
      <c r="U65" s="242"/>
      <c r="V65" s="242"/>
      <c r="W65" s="242"/>
      <c r="X65" s="242"/>
      <c r="Y65" s="242"/>
      <c r="Z65" s="244"/>
      <c r="AA65" s="242"/>
      <c r="AB65" s="242"/>
      <c r="AC65" s="242"/>
      <c r="AD65" s="242"/>
      <c r="AE65" s="242"/>
      <c r="AF65" s="242"/>
      <c r="AG65" s="242"/>
      <c r="AH65" s="302"/>
    </row>
    <row r="66" spans="1:34" s="59" customFormat="1" ht="13" customHeight="1">
      <c r="A66" s="471"/>
      <c r="E66" s="140"/>
      <c r="G66" s="380" t="s">
        <v>228</v>
      </c>
      <c r="H66" s="381"/>
      <c r="I66" s="382"/>
      <c r="J66" s="382"/>
      <c r="K66" s="382"/>
      <c r="L66" s="376">
        <f>SUM($U$52:$V$52)+$AH$52</f>
        <v>0</v>
      </c>
      <c r="N66" s="533" t="s">
        <v>234</v>
      </c>
      <c r="O66" s="534"/>
      <c r="P66" s="398">
        <f>SUM(Jänner:Dezember!$D$51)</f>
        <v>0</v>
      </c>
      <c r="T66" s="244"/>
      <c r="U66" s="242"/>
      <c r="V66" s="242"/>
      <c r="W66" s="242"/>
      <c r="X66" s="242"/>
      <c r="Y66" s="242"/>
      <c r="Z66" s="244"/>
      <c r="AA66" s="242"/>
      <c r="AB66" s="242"/>
      <c r="AC66" s="242"/>
      <c r="AD66" s="242"/>
      <c r="AE66" s="242"/>
      <c r="AF66" s="242"/>
      <c r="AG66" s="242"/>
      <c r="AH66" s="302"/>
    </row>
    <row r="67" spans="1:34" s="59" customFormat="1" ht="13" customHeight="1">
      <c r="A67" s="471"/>
      <c r="D67" s="140"/>
      <c r="E67" s="140"/>
      <c r="G67" s="380" t="s">
        <v>103</v>
      </c>
      <c r="H67" s="381"/>
      <c r="I67" s="382"/>
      <c r="J67" s="382"/>
      <c r="K67" s="382"/>
      <c r="L67" s="376">
        <f>SUM($U$51:$W$51)+$AH$51</f>
        <v>0</v>
      </c>
      <c r="N67" s="533" t="s">
        <v>235</v>
      </c>
      <c r="O67" s="534"/>
      <c r="P67" s="398">
        <f>SUM(Jänner:Dezember!$D$52)</f>
        <v>0</v>
      </c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42"/>
      <c r="AG67" s="242"/>
      <c r="AH67" s="302"/>
    </row>
    <row r="68" spans="1:34" s="59" customFormat="1" ht="13" customHeight="1">
      <c r="A68" s="471"/>
      <c r="D68" s="140"/>
      <c r="E68" s="140"/>
      <c r="G68" s="121" t="s">
        <v>100</v>
      </c>
      <c r="H68" s="122"/>
      <c r="I68" s="125"/>
      <c r="J68" s="125"/>
      <c r="K68" s="125"/>
      <c r="L68" s="377">
        <f>$L$66*$L$60</f>
        <v>0</v>
      </c>
      <c r="N68" s="533" t="s">
        <v>148</v>
      </c>
      <c r="O68" s="534"/>
      <c r="P68" s="398">
        <f>SUM(Jänner:Dezember!$D$53)</f>
        <v>0</v>
      </c>
      <c r="T68" s="242"/>
      <c r="U68" s="242"/>
      <c r="V68" s="242"/>
      <c r="W68" s="242"/>
      <c r="X68" s="242"/>
      <c r="Y68" s="242"/>
      <c r="Z68" s="242"/>
      <c r="AA68" s="242"/>
      <c r="AB68" s="242"/>
      <c r="AC68" s="242"/>
      <c r="AD68" s="242"/>
      <c r="AE68" s="242"/>
      <c r="AF68" s="242"/>
      <c r="AG68" s="242"/>
      <c r="AH68" s="302"/>
    </row>
    <row r="69" spans="1:34" s="59" customFormat="1" ht="13" customHeight="1">
      <c r="A69" s="471"/>
      <c r="D69" s="140"/>
      <c r="E69" s="140"/>
      <c r="G69" s="383" t="s">
        <v>101</v>
      </c>
      <c r="H69" s="384"/>
      <c r="I69" s="378"/>
      <c r="J69" s="378"/>
      <c r="K69" s="378"/>
      <c r="L69" s="379">
        <f>$L$67*$L$61</f>
        <v>0</v>
      </c>
      <c r="N69" s="533" t="s">
        <v>166</v>
      </c>
      <c r="O69" s="534"/>
      <c r="P69" s="398">
        <f>SUM(Jänner:Dezember!$D$54)</f>
        <v>0</v>
      </c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302"/>
    </row>
    <row r="70" spans="1:34" s="59" customFormat="1" ht="13" customHeight="1">
      <c r="A70" s="471"/>
      <c r="D70" s="140"/>
      <c r="E70" s="140"/>
      <c r="G70" s="374" t="s">
        <v>393</v>
      </c>
      <c r="H70" s="375"/>
      <c r="I70" s="125"/>
      <c r="J70" s="125"/>
      <c r="K70" s="125"/>
      <c r="L70" s="376">
        <f>SUM($AA$52:$AB$52)</f>
        <v>0</v>
      </c>
      <c r="N70" s="633" t="s">
        <v>389</v>
      </c>
      <c r="O70" s="634"/>
      <c r="P70" s="465">
        <f>SUM(Jänner:Dezember!$B$56)</f>
        <v>0</v>
      </c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302"/>
    </row>
    <row r="71" spans="1:34" s="59" customFormat="1" ht="13" customHeight="1">
      <c r="A71" s="471"/>
      <c r="D71" s="140"/>
      <c r="E71" s="140"/>
      <c r="G71" s="374" t="s">
        <v>356</v>
      </c>
      <c r="H71" s="375"/>
      <c r="I71" s="125"/>
      <c r="J71" s="125"/>
      <c r="K71" s="125"/>
      <c r="L71" s="376">
        <f>SUM($AA$51:$AD$51)</f>
        <v>0</v>
      </c>
      <c r="N71" s="533" t="s">
        <v>390</v>
      </c>
      <c r="O71" s="534"/>
      <c r="P71" s="398">
        <f>SUM(Jänner:Dezember!$B$57)</f>
        <v>0</v>
      </c>
      <c r="T71" s="242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302"/>
    </row>
    <row r="72" spans="1:34" s="59" customFormat="1" ht="13" customHeight="1">
      <c r="A72" s="471"/>
      <c r="D72" s="140"/>
      <c r="E72" s="140"/>
      <c r="G72" s="374" t="s">
        <v>98</v>
      </c>
      <c r="H72" s="375"/>
      <c r="I72" s="125"/>
      <c r="J72" s="125"/>
      <c r="K72" s="125"/>
      <c r="L72" s="377">
        <f>$L$70*$L$60</f>
        <v>0</v>
      </c>
      <c r="N72" s="606" t="s">
        <v>388</v>
      </c>
      <c r="O72" s="607"/>
      <c r="P72" s="450">
        <f>SUM(Jänner:Dezember!$B$58)</f>
        <v>0</v>
      </c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302"/>
    </row>
    <row r="73" spans="1:34" s="59" customFormat="1" ht="13" customHeight="1">
      <c r="A73" s="471"/>
      <c r="D73" s="140"/>
      <c r="E73" s="315"/>
      <c r="G73" s="267" t="s">
        <v>99</v>
      </c>
      <c r="H73" s="268"/>
      <c r="I73" s="378"/>
      <c r="J73" s="378"/>
      <c r="K73" s="378"/>
      <c r="L73" s="379">
        <f>$L$71*$L$61</f>
        <v>0</v>
      </c>
      <c r="N73" s="546" t="str">
        <f>"Brutto Jahresgehalt"&amp;" "&amp;Start!$D$2</f>
        <v>Brutto Jahresgehalt 2024</v>
      </c>
      <c r="O73" s="547"/>
      <c r="P73" s="548"/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302"/>
    </row>
    <row r="74" spans="1:34" s="59" customFormat="1" ht="13" customHeight="1">
      <c r="A74" s="471"/>
      <c r="D74" s="140"/>
      <c r="G74" s="385" t="s">
        <v>288</v>
      </c>
      <c r="H74" s="386"/>
      <c r="I74" s="161"/>
      <c r="J74" s="161"/>
      <c r="K74" s="161"/>
      <c r="L74" s="387">
        <f>VLOOKUP($B$8,Datenblatt!$A$100:$F$112,6,FALSE)-SUM($D$55:$D$58)</f>
        <v>160</v>
      </c>
      <c r="N74" s="549"/>
      <c r="O74" s="550"/>
      <c r="P74" s="551"/>
      <c r="T74" s="242"/>
      <c r="U74" s="242"/>
      <c r="V74" s="242"/>
      <c r="W74" s="242"/>
      <c r="X74" s="242"/>
      <c r="Y74" s="242"/>
      <c r="Z74" s="242"/>
      <c r="AA74" s="242"/>
      <c r="AB74" s="242"/>
      <c r="AC74" s="242"/>
      <c r="AD74" s="242"/>
      <c r="AE74" s="242"/>
      <c r="AF74" s="242"/>
      <c r="AG74" s="242"/>
      <c r="AH74" s="302"/>
    </row>
    <row r="75" spans="1:34" s="59" customFormat="1" ht="13" customHeight="1">
      <c r="A75" s="471"/>
      <c r="D75" s="140"/>
      <c r="N75" s="630">
        <f ca="1">SUM(Jänner:Dezember!$Q$8)</f>
        <v>75114.34</v>
      </c>
      <c r="O75" s="631"/>
      <c r="P75" s="632"/>
      <c r="T75" s="242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242"/>
      <c r="AF75" s="242"/>
      <c r="AG75" s="242"/>
      <c r="AH75" s="302"/>
    </row>
    <row r="76" spans="1:34" s="59" customFormat="1" ht="13" customHeight="1">
      <c r="A76" s="471"/>
      <c r="N76" s="546" t="str">
        <f>"Überstunden"&amp;" "&amp;Start!$D$2</f>
        <v>Überstunden 2024</v>
      </c>
      <c r="O76" s="547"/>
      <c r="P76" s="548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302"/>
    </row>
    <row r="77" spans="1:34" s="59" customFormat="1" ht="13" customHeight="1">
      <c r="A77" s="471"/>
      <c r="C77" s="164" t="s">
        <v>243</v>
      </c>
      <c r="D77" s="165"/>
      <c r="E77" s="166"/>
      <c r="F77" s="166"/>
      <c r="G77" s="166"/>
      <c r="H77" s="167"/>
      <c r="N77" s="549"/>
      <c r="O77" s="550"/>
      <c r="P77" s="551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302"/>
    </row>
    <row r="78" spans="1:34" s="59" customFormat="1" ht="13" customHeight="1">
      <c r="A78" s="471"/>
      <c r="C78" s="121" t="s">
        <v>92</v>
      </c>
      <c r="D78" s="122"/>
      <c r="E78" s="123"/>
      <c r="F78" s="123"/>
      <c r="G78" s="123"/>
      <c r="H78" s="124">
        <f>SUMPRODUCT((WEEKDAY($B$13:$B$43,2)=6)*($D$13:$D$43="ND"))-SUMPRODUCT((WEEKDAY($B$13:$B$43,2)=6)*($D$13:$D$43="ND")*($A$13:$A$43="Ft"))</f>
        <v>0</v>
      </c>
      <c r="N78" s="626" t="s">
        <v>394</v>
      </c>
      <c r="O78" s="627"/>
      <c r="P78" s="463">
        <f>SUM(Jänner:Dezember!$L$62)</f>
        <v>0</v>
      </c>
      <c r="R78" s="120"/>
      <c r="S78" s="120"/>
      <c r="T78" s="242"/>
      <c r="U78" s="242"/>
      <c r="V78" s="242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  <c r="AH78" s="302"/>
    </row>
    <row r="79" spans="1:34" s="59" customFormat="1" ht="13" customHeight="1">
      <c r="A79" s="471"/>
      <c r="C79" s="121" t="s">
        <v>93</v>
      </c>
      <c r="D79" s="122"/>
      <c r="E79" s="123"/>
      <c r="F79" s="123"/>
      <c r="G79" s="123"/>
      <c r="H79" s="124">
        <f>SUMPRODUCT((WEEKDAY($B$14:$B$44,2)=7)*($D$14:$D$44="ND"))-SUMPRODUCT((WEEKDAY($B$14:$B$44,2)=7)*($D$14:$D$44="ND")*($A$14:$A$44="Ft"))</f>
        <v>0</v>
      </c>
      <c r="N79" s="628" t="s">
        <v>395</v>
      </c>
      <c r="O79" s="629"/>
      <c r="P79" s="464">
        <f>SUM(Jänner:Dezember!$L$63)</f>
        <v>0</v>
      </c>
      <c r="R79" s="120"/>
      <c r="S79" s="120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  <c r="AH79" s="302"/>
    </row>
    <row r="80" spans="1:34" s="59" customFormat="1" ht="13" customHeight="1">
      <c r="A80" s="471"/>
      <c r="C80" s="121" t="s">
        <v>94</v>
      </c>
      <c r="D80" s="122"/>
      <c r="E80" s="123"/>
      <c r="F80" s="123"/>
      <c r="G80" s="123"/>
      <c r="H80" s="124">
        <f>SUMPRODUCT(($D$14:$D$44="ND")*($A$14:$A$44="Ft"))</f>
        <v>0</v>
      </c>
      <c r="N80" s="462"/>
      <c r="O80" s="462"/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42"/>
      <c r="AG80" s="242"/>
      <c r="AH80" s="302"/>
    </row>
    <row r="81" spans="1:34" s="59" customFormat="1" ht="13" customHeight="1">
      <c r="A81" s="471"/>
      <c r="C81" s="121" t="s">
        <v>95</v>
      </c>
      <c r="D81" s="122"/>
      <c r="E81" s="125"/>
      <c r="F81" s="125"/>
      <c r="G81" s="125"/>
      <c r="H81" s="124">
        <f>SUMPRODUCT((WEEKDAY($C$13:$C$43,2)=7)*($D$13:$D$43="ND")*($A$14:$A$44="Ft"))-SUMPRODUCT((WEEKDAY($C$13:$C$43,2)=7)*($D$13:$D$43="ND")*($A$13:$A$43="Ft")*($A$14:$A$44="Ft"))</f>
        <v>0</v>
      </c>
      <c r="T81" s="242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  <c r="AH81" s="302"/>
    </row>
    <row r="82" spans="1:34" s="59" customFormat="1" ht="13" customHeight="1">
      <c r="A82" s="471"/>
      <c r="C82" s="121" t="s">
        <v>96</v>
      </c>
      <c r="D82" s="122"/>
      <c r="E82" s="125"/>
      <c r="F82" s="125"/>
      <c r="G82" s="125"/>
      <c r="H82" s="124">
        <f>SUMPRODUCT(($A$13:$A$43="Ft")*($D$13:$D$43="ND")*($A$14:$A$44="Ft"))</f>
        <v>0</v>
      </c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42"/>
      <c r="AG82" s="242"/>
      <c r="AH82" s="302"/>
    </row>
    <row r="83" spans="1:34" s="59" customFormat="1" ht="13" customHeight="1">
      <c r="A83" s="471"/>
      <c r="C83" s="121" t="s">
        <v>97</v>
      </c>
      <c r="D83" s="122"/>
      <c r="E83" s="125"/>
      <c r="F83" s="122"/>
      <c r="G83" s="122"/>
      <c r="H83" s="124">
        <f>SUMPRODUCT(($A$13:$A$43="Ft")*(WEEKDAY($C$14:$C$44,2)=7)*($D$13:$D$43="ND"))-SUMPRODUCT(($A$13:$A$43="Ft")*($A$14:$A$44="Ft")*(WEEKDAY($C$14:$C$44,2)=7)*($D$13:$D$43="ND"))</f>
        <v>0</v>
      </c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302"/>
    </row>
    <row r="84" spans="1:34" s="59" customFormat="1" ht="13" customHeight="1">
      <c r="A84" s="471"/>
      <c r="C84" s="126" t="s">
        <v>152</v>
      </c>
      <c r="D84" s="127"/>
      <c r="E84" s="161"/>
      <c r="F84" s="127"/>
      <c r="G84" s="127"/>
      <c r="H84" s="199">
        <f>SUMPRODUCT(($A$14:$A$44="Ft")*(WEEKDAY($C$13:$C$43,2)&lt;6)*($D$13:$D$43="ND"))-(SUMPRODUCT(($A$14:$A$44="Ft")*($A$13:$A$43="Ft")*(WEEKDAY($C$13:$C$43,2)&lt;6)*($D$13:$D$43="ND")))</f>
        <v>0</v>
      </c>
      <c r="T84" s="242"/>
      <c r="U84" s="242"/>
      <c r="V84" s="242"/>
      <c r="W84" s="242"/>
      <c r="X84" s="242"/>
      <c r="Y84" s="242"/>
      <c r="Z84" s="242"/>
      <c r="AA84" s="242"/>
      <c r="AB84" s="242"/>
      <c r="AC84" s="242"/>
      <c r="AD84" s="242"/>
      <c r="AE84" s="242"/>
      <c r="AF84" s="242"/>
      <c r="AG84" s="242"/>
      <c r="AH84" s="302"/>
    </row>
    <row r="85" spans="1:34" s="59" customFormat="1" ht="13" customHeight="1">
      <c r="A85" s="471"/>
      <c r="C85" s="164" t="s">
        <v>244</v>
      </c>
      <c r="D85" s="165"/>
      <c r="E85" s="166"/>
      <c r="F85" s="166"/>
      <c r="G85" s="166"/>
      <c r="H85" s="167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242"/>
      <c r="AF85" s="242"/>
      <c r="AG85" s="242"/>
      <c r="AH85" s="302"/>
    </row>
    <row r="86" spans="1:34" s="59" customFormat="1" ht="13" customHeight="1">
      <c r="A86" s="471"/>
      <c r="C86" s="267" t="s">
        <v>401</v>
      </c>
      <c r="D86" s="268"/>
      <c r="E86" s="268"/>
      <c r="F86" s="268"/>
      <c r="G86" s="268"/>
      <c r="H86" s="163"/>
      <c r="T86" s="242"/>
      <c r="U86" s="242"/>
      <c r="V86" s="242"/>
      <c r="W86" s="242"/>
      <c r="X86" s="242"/>
      <c r="Y86" s="242"/>
      <c r="Z86" s="242"/>
      <c r="AA86" s="242"/>
      <c r="AB86" s="242"/>
      <c r="AC86" s="242"/>
      <c r="AD86" s="242"/>
      <c r="AE86" s="242"/>
      <c r="AF86" s="242"/>
      <c r="AG86" s="242"/>
      <c r="AH86" s="302"/>
    </row>
    <row r="87" spans="1:34" s="59" customFormat="1" ht="13" customHeight="1">
      <c r="A87" s="471"/>
      <c r="C87" s="121" t="s">
        <v>16</v>
      </c>
      <c r="D87" s="122"/>
      <c r="E87" s="122"/>
      <c r="F87" s="122"/>
      <c r="G87" s="122"/>
      <c r="H87" s="124">
        <f>SUMPRODUCT((WEEKDAY($B$14:$B$44,2)=7)*($D$14:$D$44="TD"))+SUMPRODUCT(($D$14:$D$44="TD")*($A$14:$A$44="Ft"))-SUMPRODUCT((WEEKDAY($B$14:$B$44,2)=7)*($D$14:$D$44="TD")*($A$14:$A$44="Ft"))</f>
        <v>0</v>
      </c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  <c r="AH87" s="302"/>
    </row>
    <row r="88" spans="1:34" s="59" customFormat="1" ht="13" customHeight="1">
      <c r="A88" s="471"/>
      <c r="C88" s="121" t="s">
        <v>225</v>
      </c>
      <c r="D88" s="122"/>
      <c r="E88" s="122"/>
      <c r="F88" s="122"/>
      <c r="G88" s="122"/>
      <c r="H88" s="124">
        <f>SUMPRODUCT((WEEKDAY($B$14:$B$44,2)=7)*($D$14:$D$44="TD5,5"))+SUMPRODUCT(($D$14:$D$44="TD5,5")*($A$14:$A$44="Ft"))-SUMPRODUCT((WEEKDAY($B$14:$B$44,2)=7)*($D$14:$D$44="TD5,5")*($A$14:$A$44="Ft"))</f>
        <v>0</v>
      </c>
      <c r="T88" s="242"/>
      <c r="U88" s="242"/>
      <c r="V88" s="242"/>
      <c r="W88" s="242"/>
      <c r="X88" s="242"/>
      <c r="Y88" s="242"/>
      <c r="Z88" s="242"/>
      <c r="AA88" s="242"/>
      <c r="AB88" s="242"/>
      <c r="AC88" s="242"/>
      <c r="AD88" s="242"/>
      <c r="AE88" s="242"/>
      <c r="AF88" s="242"/>
      <c r="AG88" s="242"/>
      <c r="AH88" s="302"/>
    </row>
    <row r="89" spans="1:34" s="59" customFormat="1" ht="13" customHeight="1">
      <c r="A89" s="471"/>
      <c r="C89" s="121" t="s">
        <v>88</v>
      </c>
      <c r="D89" s="122"/>
      <c r="E89" s="122"/>
      <c r="F89" s="122"/>
      <c r="G89" s="122"/>
      <c r="H89" s="124">
        <f>SUMPRODUCT((WEEKDAY($B$14:$B$44,2)=7)*($D$14:$D$44="TD6"))+SUMPRODUCT(($D$14:$D$44="TD6")*($A$14:$A$44="Ft"))-SUMPRODUCT((WEEKDAY($B$14:$B$44,2)=7)*($D$14:$D$44="TD6")*($A$14:$A$44="Ft"))</f>
        <v>0</v>
      </c>
      <c r="T89" s="242"/>
      <c r="U89" s="242"/>
      <c r="V89" s="242"/>
      <c r="W89" s="242"/>
      <c r="X89" s="242"/>
      <c r="Y89" s="242"/>
      <c r="Z89" s="242"/>
      <c r="AA89" s="242"/>
      <c r="AB89" s="242"/>
      <c r="AC89" s="242"/>
      <c r="AD89" s="242"/>
      <c r="AE89" s="242"/>
      <c r="AF89" s="242"/>
      <c r="AG89" s="242"/>
      <c r="AH89" s="302"/>
    </row>
    <row r="90" spans="1:34" s="59" customFormat="1" ht="13" customHeight="1">
      <c r="A90" s="471"/>
      <c r="C90" s="121" t="s">
        <v>184</v>
      </c>
      <c r="D90" s="122"/>
      <c r="E90" s="122"/>
      <c r="F90" s="122"/>
      <c r="G90" s="122"/>
      <c r="H90" s="124">
        <f>SUMPRODUCT((WEEKDAY($B$14:$B$44,2)=7)*($D$14:$D$44="TD6,25"))+SUMPRODUCT(($D$14:$D$44="TD6,25")*($A$14:$A$44="Ft"))-SUMPRODUCT((WEEKDAY($B$14:$B$44,2)=7)*($D$14:$D$44="TD6,25")*($A$14:$A$44="Ft"))</f>
        <v>0</v>
      </c>
      <c r="T90" s="242"/>
      <c r="U90" s="242"/>
      <c r="V90" s="242"/>
      <c r="W90" s="242"/>
      <c r="X90" s="242"/>
      <c r="Y90" s="242"/>
      <c r="Z90" s="242"/>
      <c r="AA90" s="242"/>
      <c r="AB90" s="242"/>
      <c r="AC90" s="242"/>
      <c r="AD90" s="242"/>
      <c r="AE90" s="242"/>
      <c r="AF90" s="242"/>
      <c r="AG90" s="242"/>
      <c r="AH90" s="302"/>
    </row>
    <row r="91" spans="1:34" s="59" customFormat="1" ht="13" customHeight="1">
      <c r="A91" s="471"/>
      <c r="C91" s="121" t="s">
        <v>209</v>
      </c>
      <c r="D91" s="122"/>
      <c r="E91" s="122"/>
      <c r="F91" s="122"/>
      <c r="G91" s="122"/>
      <c r="H91" s="124">
        <f>SUMPRODUCT((WEEKDAY($B$14:$B$44,2)=7)*($D$14:$D$44="TD6,5"))+SUMPRODUCT(($D$14:$D$44="TD6,5")*($A$14:$A$44="Ft"))-SUMPRODUCT((WEEKDAY($B$14:$B$44,2)=7)*($D$14:$D$44="TD6,5")*($A$14:$A$44="Ft"))</f>
        <v>0</v>
      </c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302"/>
    </row>
    <row r="92" spans="1:34" s="59" customFormat="1" ht="13" customHeight="1">
      <c r="A92" s="471"/>
      <c r="C92" s="121" t="s">
        <v>86</v>
      </c>
      <c r="D92" s="122"/>
      <c r="E92" s="122"/>
      <c r="F92" s="122"/>
      <c r="G92" s="122"/>
      <c r="H92" s="124">
        <f>SUMPRODUCT((WEEKDAY($B$14:$B$44,2)=7)*($D$14:$D$44="TD7"))+SUMPRODUCT(($D$14:$D$44="TD7")*($A$14:$A$44="Ft"))-SUMPRODUCT((WEEKDAY($B$14:$B$44,2)=7)*($D$14:$D$44="TD7")*($A$14:$A$44="Ft"))</f>
        <v>0</v>
      </c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302"/>
    </row>
    <row r="93" spans="1:34" s="59" customFormat="1" ht="13" customHeight="1">
      <c r="A93" s="471"/>
      <c r="C93" s="121" t="s">
        <v>213</v>
      </c>
      <c r="D93" s="122"/>
      <c r="E93" s="122"/>
      <c r="F93" s="122"/>
      <c r="G93" s="122"/>
      <c r="H93" s="124">
        <f>SUMPRODUCT((WEEKDAY($B$14:$B$44,2)=7)*($D$14:$D$44="TD7,5"))+SUMPRODUCT(($D$14:$D$44="TD7,5")*($A$14:$A$44="Ft"))-SUMPRODUCT((WEEKDAY($B$14:$B$44,2)=7)*($D$14:$D$44="TD7,5")*($A$14:$A$44="Ft"))</f>
        <v>0</v>
      </c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302"/>
    </row>
    <row r="94" spans="1:34" s="59" customFormat="1" ht="13" customHeight="1">
      <c r="A94" s="471"/>
      <c r="C94" s="121" t="s">
        <v>71</v>
      </c>
      <c r="D94" s="122"/>
      <c r="E94" s="122"/>
      <c r="F94" s="122"/>
      <c r="G94" s="122"/>
      <c r="H94" s="124">
        <f>SUMPRODUCT((WEEKDAY($B$14:$B$44,2)=7)*($D$14:$D$44="TD8"))+SUMPRODUCT(($D$14:$D$44="TD8")*($A$14:$A$44="Ft"))-SUMPRODUCT((WEEKDAY($B$14:$B$44,2)=7)*($D$14:$D$44="TD8")*($A$14:$A$44="Ft"))</f>
        <v>0</v>
      </c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42"/>
      <c r="AG94" s="242"/>
      <c r="AH94" s="302"/>
    </row>
    <row r="95" spans="1:34" s="59" customFormat="1" ht="13" customHeight="1">
      <c r="A95" s="471"/>
      <c r="C95" s="121" t="s">
        <v>214</v>
      </c>
      <c r="D95" s="122"/>
      <c r="E95" s="122"/>
      <c r="F95" s="122"/>
      <c r="G95" s="122"/>
      <c r="H95" s="124">
        <f>SUMPRODUCT((WEEKDAY($B$14:$B$44,2)=7)*($D$14:$D$44="TD8,5"))+SUMPRODUCT(($D$14:$D$44="TD8,5")*($A$14:$A$44="Ft"))-SUMPRODUCT((WEEKDAY($B$14:$B$44,2)=7)*($D$14:$D$44="TD8,5")*($A$14:$A$44="Ft"))</f>
        <v>0</v>
      </c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302"/>
    </row>
    <row r="96" spans="1:34" ht="13" customHeight="1">
      <c r="C96" s="121" t="s">
        <v>84</v>
      </c>
      <c r="D96" s="122"/>
      <c r="E96" s="122"/>
      <c r="F96" s="122"/>
      <c r="G96" s="122"/>
      <c r="H96" s="12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21" t="s">
        <v>215</v>
      </c>
      <c r="D97" s="122"/>
      <c r="E97" s="122"/>
      <c r="F97" s="122"/>
      <c r="G97" s="122"/>
      <c r="H97" s="12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21" t="s">
        <v>413</v>
      </c>
      <c r="D98" s="122"/>
      <c r="E98" s="122"/>
      <c r="F98" s="122"/>
      <c r="G98" s="122"/>
      <c r="H98" s="12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21" t="s">
        <v>216</v>
      </c>
      <c r="D99" s="122"/>
      <c r="E99" s="122"/>
      <c r="F99" s="122"/>
      <c r="G99" s="122"/>
      <c r="H99" s="12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21" t="s">
        <v>217</v>
      </c>
      <c r="D100" s="122"/>
      <c r="E100" s="122"/>
      <c r="F100" s="122"/>
      <c r="G100" s="122"/>
      <c r="H100" s="12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21" t="s">
        <v>210</v>
      </c>
      <c r="D101" s="122"/>
      <c r="E101" s="122"/>
      <c r="F101" s="122"/>
      <c r="G101" s="122"/>
      <c r="H101" s="12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21" t="s">
        <v>218</v>
      </c>
      <c r="D102" s="122"/>
      <c r="E102" s="122"/>
      <c r="F102" s="122"/>
      <c r="G102" s="122"/>
      <c r="H102" s="12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21" t="s">
        <v>119</v>
      </c>
      <c r="D103" s="122"/>
      <c r="E103" s="122"/>
      <c r="F103" s="122"/>
      <c r="G103" s="122"/>
      <c r="H103" s="12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62" t="s">
        <v>149</v>
      </c>
      <c r="D104" s="263"/>
      <c r="E104" s="263"/>
      <c r="F104" s="263"/>
      <c r="G104" s="263"/>
      <c r="H104" s="162"/>
    </row>
    <row r="105" spans="3:8" ht="13" customHeight="1">
      <c r="C105" s="121" t="s">
        <v>153</v>
      </c>
      <c r="D105" s="122"/>
      <c r="E105" s="122"/>
      <c r="F105" s="122"/>
      <c r="G105" s="122"/>
      <c r="H105" s="124">
        <f>SUMPRODUCT((WEEKDAY($B$13:$B$43,2)=6)*($D$13:$D$43="ND12,5"))-SUMPRODUCT((WEEKDAY($B$13:$B$43,2)=6)*($D$13:$D$43="ND12,5")*($A$13:$A$43="Ft"))</f>
        <v>0</v>
      </c>
    </row>
    <row r="106" spans="3:8">
      <c r="C106" s="121" t="s">
        <v>150</v>
      </c>
      <c r="D106" s="125"/>
      <c r="E106" s="125"/>
      <c r="F106" s="125"/>
      <c r="G106" s="125"/>
      <c r="H106" s="124">
        <f>SUMPRODUCT((WEEKDAY($B$14:$B$44,2)=7)*($D$14:$D$44="ND12,5"))-SUMPRODUCT((WEEKDAY($B$14:$B$44,2)=7)*($D$14:$D$44="ND12,5")*($A$14:$A$44="Ft"))</f>
        <v>0</v>
      </c>
    </row>
    <row r="107" spans="3:8">
      <c r="C107" s="121" t="s">
        <v>151</v>
      </c>
      <c r="D107" s="125"/>
      <c r="E107" s="125"/>
      <c r="F107" s="125"/>
      <c r="G107" s="125"/>
      <c r="H107" s="124">
        <f>SUMPRODUCT(($D$14:$D$44="ND12,5")*($A$14:$A$44="Ft"))</f>
        <v>0</v>
      </c>
    </row>
    <row r="108" spans="3:8">
      <c r="C108" s="121" t="s">
        <v>155</v>
      </c>
      <c r="D108" s="125"/>
      <c r="E108" s="125"/>
      <c r="F108" s="125"/>
      <c r="G108" s="125"/>
      <c r="H108" s="12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21" t="s">
        <v>156</v>
      </c>
      <c r="D109" s="125"/>
      <c r="E109" s="125"/>
      <c r="F109" s="125"/>
      <c r="G109" s="125"/>
      <c r="H109" s="124">
        <f>SUMPRODUCT(($A$13:$A$43="Ft")*($D$13:$D$43="ND12,5")*($A$14:$A$44="Ft"))</f>
        <v>0</v>
      </c>
    </row>
    <row r="110" spans="3:8">
      <c r="C110" s="121" t="s">
        <v>157</v>
      </c>
      <c r="D110" s="125"/>
      <c r="E110" s="125"/>
      <c r="F110" s="125"/>
      <c r="G110" s="125"/>
      <c r="H110" s="12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26" t="s">
        <v>154</v>
      </c>
      <c r="D111" s="161"/>
      <c r="E111" s="161"/>
      <c r="F111" s="161"/>
      <c r="G111" s="161"/>
      <c r="H111" s="199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NfinoMZQebsQ6l4bD6M7YBGA94U3wLsj5Hy9MarrwqJ+qXX8+yLRgn4/1ov4nL1hglPPI3eGyHvDNPNXAr2tJA==" saltValue="n9rKdKzcyL8ePbyEZtfWhA==" spinCount="100000" sheet="1" selectLockedCells="1"/>
  <mergeCells count="68">
    <mergeCell ref="B9:C11"/>
    <mergeCell ref="D9:D11"/>
    <mergeCell ref="E9:E11"/>
    <mergeCell ref="N73:P74"/>
    <mergeCell ref="N75:P75"/>
    <mergeCell ref="N70:O70"/>
    <mergeCell ref="N71:O71"/>
    <mergeCell ref="N72:O72"/>
    <mergeCell ref="C50:D50"/>
    <mergeCell ref="G54:I54"/>
    <mergeCell ref="N50:P51"/>
    <mergeCell ref="F9:G10"/>
    <mergeCell ref="L48:O48"/>
    <mergeCell ref="N69:O69"/>
    <mergeCell ref="N67:O67"/>
    <mergeCell ref="N68:O68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AG10:AG11"/>
    <mergeCell ref="K5:M5"/>
    <mergeCell ref="K6:M6"/>
    <mergeCell ref="N6:P6"/>
    <mergeCell ref="N5:P5"/>
    <mergeCell ref="K8:M8"/>
    <mergeCell ref="N8:P8"/>
    <mergeCell ref="K7:M7"/>
    <mergeCell ref="N7:P7"/>
    <mergeCell ref="AA10:AE10"/>
    <mergeCell ref="AF10:AF11"/>
    <mergeCell ref="L9:L11"/>
    <mergeCell ref="M9:M11"/>
    <mergeCell ref="U10:Y10"/>
    <mergeCell ref="S9:S11"/>
    <mergeCell ref="R9:R11"/>
    <mergeCell ref="Q9:Q11"/>
    <mergeCell ref="N9:N11"/>
    <mergeCell ref="H9:I10"/>
    <mergeCell ref="J9:J11"/>
    <mergeCell ref="L47:O47"/>
    <mergeCell ref="K9:K11"/>
    <mergeCell ref="N13:O13"/>
    <mergeCell ref="O9:O11"/>
    <mergeCell ref="P9:P11"/>
    <mergeCell ref="N58:P59"/>
    <mergeCell ref="N52:O52"/>
    <mergeCell ref="N53:O53"/>
    <mergeCell ref="N54:O54"/>
    <mergeCell ref="N61:O61"/>
    <mergeCell ref="N60:O60"/>
    <mergeCell ref="N57:O57"/>
    <mergeCell ref="N55:O55"/>
    <mergeCell ref="N56:O56"/>
    <mergeCell ref="N76:P77"/>
    <mergeCell ref="N78:O78"/>
    <mergeCell ref="N79:O79"/>
    <mergeCell ref="N62:O62"/>
    <mergeCell ref="N63:O63"/>
    <mergeCell ref="N64:P65"/>
    <mergeCell ref="N66:O66"/>
  </mergeCells>
  <conditionalFormatting sqref="A13:A44">
    <cfRule type="cellIs" dxfId="73" priority="9" operator="equal">
      <formula>"HFT"</formula>
    </cfRule>
    <cfRule type="cellIs" dxfId="72" priority="10" operator="equal">
      <formula>"FT"</formula>
    </cfRule>
  </conditionalFormatting>
  <conditionalFormatting sqref="A45">
    <cfRule type="cellIs" dxfId="71" priority="262" operator="equal">
      <formula>"Ft"</formula>
    </cfRule>
  </conditionalFormatting>
  <conditionalFormatting sqref="B13:C44">
    <cfRule type="expression" dxfId="69" priority="263">
      <formula>WEEKDAY($C13,2)&gt;5</formula>
    </cfRule>
  </conditionalFormatting>
  <conditionalFormatting sqref="E8">
    <cfRule type="cellIs" dxfId="68" priority="45" operator="greaterThan">
      <formula>48</formula>
    </cfRule>
  </conditionalFormatting>
  <conditionalFormatting sqref="I47:K47">
    <cfRule type="cellIs" dxfId="67" priority="110" operator="equal">
      <formula>"Wochenarbeitszeit überschritten"</formula>
    </cfRule>
  </conditionalFormatting>
  <conditionalFormatting sqref="J45:P45">
    <cfRule type="cellIs" dxfId="66" priority="136" operator="equal">
      <formula>0</formula>
    </cfRule>
  </conditionalFormatting>
  <conditionalFormatting sqref="K8">
    <cfRule type="cellIs" dxfId="65" priority="184" operator="lessThan">
      <formula>$N$8</formula>
    </cfRule>
    <cfRule type="cellIs" dxfId="64" priority="183" operator="greaterThan">
      <formula>$N$8</formula>
    </cfRule>
    <cfRule type="cellIs" dxfId="63" priority="182" operator="equal">
      <formula>$N$8</formula>
    </cfRule>
  </conditionalFormatting>
  <conditionalFormatting sqref="K14:K44">
    <cfRule type="cellIs" dxfId="62" priority="34" operator="greaterThan">
      <formula>0</formula>
    </cfRule>
    <cfRule type="cellIs" dxfId="61" priority="33" operator="lessThanOrEqual">
      <formula>0</formula>
    </cfRule>
  </conditionalFormatting>
  <conditionalFormatting sqref="K45">
    <cfRule type="cellIs" dxfId="60" priority="187" operator="lessThan">
      <formula>0</formula>
    </cfRule>
  </conditionalFormatting>
  <conditionalFormatting sqref="N14:O44">
    <cfRule type="cellIs" dxfId="59" priority="12" operator="equal">
      <formula>0</formula>
    </cfRule>
  </conditionalFormatting>
  <conditionalFormatting sqref="P13:P44">
    <cfRule type="cellIs" dxfId="58" priority="3" operator="equal">
      <formula>0</formula>
    </cfRule>
  </conditionalFormatting>
  <conditionalFormatting sqref="P60:P63">
    <cfRule type="cellIs" dxfId="57" priority="60" operator="lessThan">
      <formula>0</formula>
    </cfRule>
  </conditionalFormatting>
  <conditionalFormatting sqref="P67">
    <cfRule type="cellIs" dxfId="56" priority="1" operator="greaterThan">
      <formula>160</formula>
    </cfRule>
  </conditionalFormatting>
  <conditionalFormatting sqref="Q47">
    <cfRule type="cellIs" dxfId="55" priority="49" operator="equal">
      <formula>0</formula>
    </cfRule>
  </conditionalFormatting>
  <conditionalFormatting sqref="T14:T44">
    <cfRule type="cellIs" dxfId="54" priority="243" operator="equal">
      <formula>0</formula>
    </cfRule>
  </conditionalFormatting>
  <conditionalFormatting sqref="T45:W45">
    <cfRule type="cellIs" dxfId="53" priority="130" operator="equal">
      <formula>0</formula>
    </cfRule>
  </conditionalFormatting>
  <conditionalFormatting sqref="T51:W51">
    <cfRule type="cellIs" dxfId="52" priority="26" operator="equal">
      <formula>0</formula>
    </cfRule>
  </conditionalFormatting>
  <conditionalFormatting sqref="U15:W44">
    <cfRule type="cellIs" dxfId="51" priority="217" operator="equal">
      <formula>0</formula>
    </cfRule>
  </conditionalFormatting>
  <conditionalFormatting sqref="U51:Y53">
    <cfRule type="cellIs" dxfId="50" priority="16" operator="equal">
      <formula>0</formula>
    </cfRule>
  </conditionalFormatting>
  <conditionalFormatting sqref="V14">
    <cfRule type="cellIs" dxfId="49" priority="244" operator="equal">
      <formula>0</formula>
    </cfRule>
  </conditionalFormatting>
  <conditionalFormatting sqref="V13:W13">
    <cfRule type="cellIs" dxfId="48" priority="145" operator="equal">
      <formula>0</formula>
    </cfRule>
  </conditionalFormatting>
  <conditionalFormatting sqref="W52">
    <cfRule type="cellIs" dxfId="47" priority="20" operator="equal">
      <formula>0</formula>
    </cfRule>
  </conditionalFormatting>
  <conditionalFormatting sqref="X13:Y45">
    <cfRule type="cellIs" dxfId="46" priority="61" operator="equal">
      <formula>0</formula>
    </cfRule>
  </conditionalFormatting>
  <conditionalFormatting sqref="Z13:Z44">
    <cfRule type="cellIs" dxfId="45" priority="146" operator="equal">
      <formula>0</formula>
    </cfRule>
  </conditionalFormatting>
  <conditionalFormatting sqref="Z51:AC51">
    <cfRule type="cellIs" dxfId="44" priority="24" operator="equal">
      <formula>0</formula>
    </cfRule>
  </conditionalFormatting>
  <conditionalFormatting sqref="Z45:AD45">
    <cfRule type="cellIs" dxfId="43" priority="128" operator="equal">
      <formula>0</formula>
    </cfRule>
  </conditionalFormatting>
  <conditionalFormatting sqref="AA14:AB44">
    <cfRule type="cellIs" dxfId="42" priority="35" operator="equal">
      <formula>0</formula>
    </cfRule>
  </conditionalFormatting>
  <conditionalFormatting sqref="AA51:AE52">
    <cfRule type="cellIs" dxfId="41" priority="6" operator="equal">
      <formula>0</formula>
    </cfRule>
  </conditionalFormatting>
  <conditionalFormatting sqref="AC13:AD44">
    <cfRule type="cellIs" dxfId="40" priority="140" operator="equal">
      <formula>0</formula>
    </cfRule>
  </conditionalFormatting>
  <conditionalFormatting sqref="AE13:AE45">
    <cfRule type="cellIs" dxfId="39" priority="2" operator="equal">
      <formula>0</formula>
    </cfRule>
  </conditionalFormatting>
  <conditionalFormatting sqref="AF13:AG44">
    <cfRule type="cellIs" dxfId="38" priority="75" operator="equal">
      <formula>0</formula>
    </cfRule>
  </conditionalFormatting>
  <conditionalFormatting sqref="AG51:AH51">
    <cfRule type="cellIs" dxfId="37" priority="15" operator="equal">
      <formula>0</formula>
    </cfRule>
  </conditionalFormatting>
  <conditionalFormatting sqref="AH14:AH44">
    <cfRule type="cellIs" dxfId="36" priority="29" operator="equal">
      <formula>0</formula>
    </cfRule>
  </conditionalFormatting>
  <conditionalFormatting sqref="AH51:AH52">
    <cfRule type="cellIs" dxfId="35" priority="13" operator="equal">
      <formula>0</formula>
    </cfRule>
  </conditionalFormatting>
  <dataValidations count="4">
    <dataValidation type="list" allowBlank="1" showInputMessage="1" showErrorMessage="1" sqref="J14:J44" xr:uid="{7B1F7A5D-988E-4497-85A2-9CEF2B3BAEB5}">
      <formula1>AbwesenheitenStunden</formula1>
    </dataValidation>
    <dataValidation type="list" allowBlank="1" showInputMessage="1" showErrorMessage="1" error="Die Eingabe ist unzulässig_x000a_Bitte Drop Down Felder verwenden" sqref="F14:G44" xr:uid="{B57FD5AF-0117-43ED-AC33-0D3CEB894878}">
      <formula1>Zeiten1</formula1>
    </dataValidation>
    <dataValidation type="decimal" allowBlank="1" showInputMessage="1" showErrorMessage="1" error="Die ausgewählte Stundenanzahl steht nicht zur Verfügung!" sqref="J54" xr:uid="{7EC669FA-AB3A-4EF9-B918-1132E2E31D61}">
      <formula1>0</formula1>
      <formula2>K54</formula2>
    </dataValidation>
    <dataValidation type="list" allowBlank="1" showInputMessage="1" showErrorMessage="1" sqref="H14:I44" xr:uid="{21ADB87F-484C-4CC1-950F-9BBBAF6DF7AA}">
      <formula1>Zeiten2</formula1>
    </dataValidation>
  </dataValidations>
  <pageMargins left="3.937007874015748E-2" right="3.937007874015748E-2" top="0.19685039370078741" bottom="0.15748031496062992" header="0" footer="0"/>
  <pageSetup paperSize="9" orientation="landscape" horizontalDpi="4294967293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5" id="{67F4B996-8C3B-4E8B-A9CC-E8C9D6A628EB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E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D20A9B62-3BC6-4DFE-8813-17B62431FEDC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545734EE-7EFA-4744-8263-FCCBCE88115C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25D79CFD-50A2-4963-91D6-E4E6121E7A25}">
          <x14:formula1>
            <xm:f>Datenblatt!$D$58:$D$59</xm:f>
          </x14:formula1>
          <xm:sqref>P47 J58</xm:sqref>
        </x14:dataValidation>
        <x14:dataValidation type="list" allowBlank="1" showInputMessage="1" showErrorMessage="1" xr:uid="{F53DB525-E6A2-4393-A4E0-64E5E5588AAB}">
          <x14:formula1>
            <xm:f>Datenblatt!$D$52:$D$53</xm:f>
          </x14:formula1>
          <xm:sqref>P48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140" customWidth="1"/>
    <col min="2" max="2" width="3.1640625" style="56" customWidth="1"/>
    <col min="3" max="3" width="8.83203125" style="56" customWidth="1"/>
    <col min="4" max="5" width="9.83203125" style="56" customWidth="1"/>
    <col min="6" max="10" width="9.1640625" style="56" customWidth="1"/>
    <col min="11" max="16" width="8.83203125" style="56" customWidth="1"/>
    <col min="17" max="17" width="23.5" style="66" customWidth="1"/>
    <col min="18" max="18" width="36.5" style="66" customWidth="1"/>
    <col min="19" max="19" width="43.5" style="56" customWidth="1"/>
    <col min="20" max="33" width="7.1640625" style="234" customWidth="1"/>
    <col min="34" max="34" width="7.1640625" style="301" customWidth="1"/>
    <col min="35" max="264" width="11.5" style="56"/>
    <col min="265" max="265" width="0.5" style="56" customWidth="1"/>
    <col min="266" max="266" width="3.1640625" style="56" customWidth="1"/>
    <col min="267" max="267" width="8.83203125" style="56" customWidth="1"/>
    <col min="268" max="268" width="14.83203125" style="56" customWidth="1"/>
    <col min="269" max="270" width="6.5" style="56" customWidth="1"/>
    <col min="271" max="271" width="14.83203125" style="56" customWidth="1"/>
    <col min="272" max="273" width="11.5" style="56" customWidth="1"/>
    <col min="274" max="274" width="6.1640625" style="56" customWidth="1"/>
    <col min="275" max="275" width="22.83203125" style="56" customWidth="1"/>
    <col min="276" max="276" width="11.5" style="56" customWidth="1"/>
    <col min="277" max="277" width="13.83203125" style="56" customWidth="1"/>
    <col min="278" max="278" width="5.83203125" style="56" customWidth="1"/>
    <col min="279" max="279" width="15.5" style="56" customWidth="1"/>
    <col min="280" max="520" width="11.5" style="56"/>
    <col min="521" max="521" width="0.5" style="56" customWidth="1"/>
    <col min="522" max="522" width="3.1640625" style="56" customWidth="1"/>
    <col min="523" max="523" width="8.83203125" style="56" customWidth="1"/>
    <col min="524" max="524" width="14.83203125" style="56" customWidth="1"/>
    <col min="525" max="526" width="6.5" style="56" customWidth="1"/>
    <col min="527" max="527" width="14.83203125" style="56" customWidth="1"/>
    <col min="528" max="529" width="11.5" style="56" customWidth="1"/>
    <col min="530" max="530" width="6.1640625" style="56" customWidth="1"/>
    <col min="531" max="531" width="22.83203125" style="56" customWidth="1"/>
    <col min="532" max="532" width="11.5" style="56" customWidth="1"/>
    <col min="533" max="533" width="13.83203125" style="56" customWidth="1"/>
    <col min="534" max="534" width="5.83203125" style="56" customWidth="1"/>
    <col min="535" max="535" width="15.5" style="56" customWidth="1"/>
    <col min="536" max="776" width="11.5" style="56"/>
    <col min="777" max="777" width="0.5" style="56" customWidth="1"/>
    <col min="778" max="778" width="3.1640625" style="56" customWidth="1"/>
    <col min="779" max="779" width="8.83203125" style="56" customWidth="1"/>
    <col min="780" max="780" width="14.83203125" style="56" customWidth="1"/>
    <col min="781" max="782" width="6.5" style="56" customWidth="1"/>
    <col min="783" max="783" width="14.83203125" style="56" customWidth="1"/>
    <col min="784" max="785" width="11.5" style="56" customWidth="1"/>
    <col min="786" max="786" width="6.1640625" style="56" customWidth="1"/>
    <col min="787" max="787" width="22.83203125" style="56" customWidth="1"/>
    <col min="788" max="788" width="11.5" style="56" customWidth="1"/>
    <col min="789" max="789" width="13.83203125" style="56" customWidth="1"/>
    <col min="790" max="790" width="5.83203125" style="56" customWidth="1"/>
    <col min="791" max="791" width="15.5" style="56" customWidth="1"/>
    <col min="792" max="1032" width="11.5" style="56"/>
    <col min="1033" max="1033" width="0.5" style="56" customWidth="1"/>
    <col min="1034" max="1034" width="3.1640625" style="56" customWidth="1"/>
    <col min="1035" max="1035" width="8.83203125" style="56" customWidth="1"/>
    <col min="1036" max="1036" width="14.83203125" style="56" customWidth="1"/>
    <col min="1037" max="1038" width="6.5" style="56" customWidth="1"/>
    <col min="1039" max="1039" width="14.83203125" style="56" customWidth="1"/>
    <col min="1040" max="1041" width="11.5" style="56" customWidth="1"/>
    <col min="1042" max="1042" width="6.1640625" style="56" customWidth="1"/>
    <col min="1043" max="1043" width="22.83203125" style="56" customWidth="1"/>
    <col min="1044" max="1044" width="11.5" style="56" customWidth="1"/>
    <col min="1045" max="1045" width="13.83203125" style="56" customWidth="1"/>
    <col min="1046" max="1046" width="5.83203125" style="56" customWidth="1"/>
    <col min="1047" max="1047" width="15.5" style="56" customWidth="1"/>
    <col min="1048" max="1288" width="11.5" style="56"/>
    <col min="1289" max="1289" width="0.5" style="56" customWidth="1"/>
    <col min="1290" max="1290" width="3.1640625" style="56" customWidth="1"/>
    <col min="1291" max="1291" width="8.83203125" style="56" customWidth="1"/>
    <col min="1292" max="1292" width="14.83203125" style="56" customWidth="1"/>
    <col min="1293" max="1294" width="6.5" style="56" customWidth="1"/>
    <col min="1295" max="1295" width="14.83203125" style="56" customWidth="1"/>
    <col min="1296" max="1297" width="11.5" style="56" customWidth="1"/>
    <col min="1298" max="1298" width="6.1640625" style="56" customWidth="1"/>
    <col min="1299" max="1299" width="22.83203125" style="56" customWidth="1"/>
    <col min="1300" max="1300" width="11.5" style="56" customWidth="1"/>
    <col min="1301" max="1301" width="13.83203125" style="56" customWidth="1"/>
    <col min="1302" max="1302" width="5.83203125" style="56" customWidth="1"/>
    <col min="1303" max="1303" width="15.5" style="56" customWidth="1"/>
    <col min="1304" max="1544" width="11.5" style="56"/>
    <col min="1545" max="1545" width="0.5" style="56" customWidth="1"/>
    <col min="1546" max="1546" width="3.1640625" style="56" customWidth="1"/>
    <col min="1547" max="1547" width="8.83203125" style="56" customWidth="1"/>
    <col min="1548" max="1548" width="14.83203125" style="56" customWidth="1"/>
    <col min="1549" max="1550" width="6.5" style="56" customWidth="1"/>
    <col min="1551" max="1551" width="14.83203125" style="56" customWidth="1"/>
    <col min="1552" max="1553" width="11.5" style="56" customWidth="1"/>
    <col min="1554" max="1554" width="6.1640625" style="56" customWidth="1"/>
    <col min="1555" max="1555" width="22.83203125" style="56" customWidth="1"/>
    <col min="1556" max="1556" width="11.5" style="56" customWidth="1"/>
    <col min="1557" max="1557" width="13.83203125" style="56" customWidth="1"/>
    <col min="1558" max="1558" width="5.83203125" style="56" customWidth="1"/>
    <col min="1559" max="1559" width="15.5" style="56" customWidth="1"/>
    <col min="1560" max="1800" width="11.5" style="56"/>
    <col min="1801" max="1801" width="0.5" style="56" customWidth="1"/>
    <col min="1802" max="1802" width="3.1640625" style="56" customWidth="1"/>
    <col min="1803" max="1803" width="8.83203125" style="56" customWidth="1"/>
    <col min="1804" max="1804" width="14.83203125" style="56" customWidth="1"/>
    <col min="1805" max="1806" width="6.5" style="56" customWidth="1"/>
    <col min="1807" max="1807" width="14.83203125" style="56" customWidth="1"/>
    <col min="1808" max="1809" width="11.5" style="56" customWidth="1"/>
    <col min="1810" max="1810" width="6.1640625" style="56" customWidth="1"/>
    <col min="1811" max="1811" width="22.83203125" style="56" customWidth="1"/>
    <col min="1812" max="1812" width="11.5" style="56" customWidth="1"/>
    <col min="1813" max="1813" width="13.83203125" style="56" customWidth="1"/>
    <col min="1814" max="1814" width="5.83203125" style="56" customWidth="1"/>
    <col min="1815" max="1815" width="15.5" style="56" customWidth="1"/>
    <col min="1816" max="2056" width="11.5" style="56"/>
    <col min="2057" max="2057" width="0.5" style="56" customWidth="1"/>
    <col min="2058" max="2058" width="3.1640625" style="56" customWidth="1"/>
    <col min="2059" max="2059" width="8.83203125" style="56" customWidth="1"/>
    <col min="2060" max="2060" width="14.83203125" style="56" customWidth="1"/>
    <col min="2061" max="2062" width="6.5" style="56" customWidth="1"/>
    <col min="2063" max="2063" width="14.83203125" style="56" customWidth="1"/>
    <col min="2064" max="2065" width="11.5" style="56" customWidth="1"/>
    <col min="2066" max="2066" width="6.1640625" style="56" customWidth="1"/>
    <col min="2067" max="2067" width="22.83203125" style="56" customWidth="1"/>
    <col min="2068" max="2068" width="11.5" style="56" customWidth="1"/>
    <col min="2069" max="2069" width="13.83203125" style="56" customWidth="1"/>
    <col min="2070" max="2070" width="5.83203125" style="56" customWidth="1"/>
    <col min="2071" max="2071" width="15.5" style="56" customWidth="1"/>
    <col min="2072" max="2312" width="11.5" style="56"/>
    <col min="2313" max="2313" width="0.5" style="56" customWidth="1"/>
    <col min="2314" max="2314" width="3.1640625" style="56" customWidth="1"/>
    <col min="2315" max="2315" width="8.83203125" style="56" customWidth="1"/>
    <col min="2316" max="2316" width="14.83203125" style="56" customWidth="1"/>
    <col min="2317" max="2318" width="6.5" style="56" customWidth="1"/>
    <col min="2319" max="2319" width="14.83203125" style="56" customWidth="1"/>
    <col min="2320" max="2321" width="11.5" style="56" customWidth="1"/>
    <col min="2322" max="2322" width="6.1640625" style="56" customWidth="1"/>
    <col min="2323" max="2323" width="22.83203125" style="56" customWidth="1"/>
    <col min="2324" max="2324" width="11.5" style="56" customWidth="1"/>
    <col min="2325" max="2325" width="13.83203125" style="56" customWidth="1"/>
    <col min="2326" max="2326" width="5.83203125" style="56" customWidth="1"/>
    <col min="2327" max="2327" width="15.5" style="56" customWidth="1"/>
    <col min="2328" max="2568" width="11.5" style="56"/>
    <col min="2569" max="2569" width="0.5" style="56" customWidth="1"/>
    <col min="2570" max="2570" width="3.1640625" style="56" customWidth="1"/>
    <col min="2571" max="2571" width="8.83203125" style="56" customWidth="1"/>
    <col min="2572" max="2572" width="14.83203125" style="56" customWidth="1"/>
    <col min="2573" max="2574" width="6.5" style="56" customWidth="1"/>
    <col min="2575" max="2575" width="14.83203125" style="56" customWidth="1"/>
    <col min="2576" max="2577" width="11.5" style="56" customWidth="1"/>
    <col min="2578" max="2578" width="6.1640625" style="56" customWidth="1"/>
    <col min="2579" max="2579" width="22.83203125" style="56" customWidth="1"/>
    <col min="2580" max="2580" width="11.5" style="56" customWidth="1"/>
    <col min="2581" max="2581" width="13.83203125" style="56" customWidth="1"/>
    <col min="2582" max="2582" width="5.83203125" style="56" customWidth="1"/>
    <col min="2583" max="2583" width="15.5" style="56" customWidth="1"/>
    <col min="2584" max="2824" width="11.5" style="56"/>
    <col min="2825" max="2825" width="0.5" style="56" customWidth="1"/>
    <col min="2826" max="2826" width="3.1640625" style="56" customWidth="1"/>
    <col min="2827" max="2827" width="8.83203125" style="56" customWidth="1"/>
    <col min="2828" max="2828" width="14.83203125" style="56" customWidth="1"/>
    <col min="2829" max="2830" width="6.5" style="56" customWidth="1"/>
    <col min="2831" max="2831" width="14.83203125" style="56" customWidth="1"/>
    <col min="2832" max="2833" width="11.5" style="56" customWidth="1"/>
    <col min="2834" max="2834" width="6.1640625" style="56" customWidth="1"/>
    <col min="2835" max="2835" width="22.83203125" style="56" customWidth="1"/>
    <col min="2836" max="2836" width="11.5" style="56" customWidth="1"/>
    <col min="2837" max="2837" width="13.83203125" style="56" customWidth="1"/>
    <col min="2838" max="2838" width="5.83203125" style="56" customWidth="1"/>
    <col min="2839" max="2839" width="15.5" style="56" customWidth="1"/>
    <col min="2840" max="3080" width="11.5" style="56"/>
    <col min="3081" max="3081" width="0.5" style="56" customWidth="1"/>
    <col min="3082" max="3082" width="3.1640625" style="56" customWidth="1"/>
    <col min="3083" max="3083" width="8.83203125" style="56" customWidth="1"/>
    <col min="3084" max="3084" width="14.83203125" style="56" customWidth="1"/>
    <col min="3085" max="3086" width="6.5" style="56" customWidth="1"/>
    <col min="3087" max="3087" width="14.83203125" style="56" customWidth="1"/>
    <col min="3088" max="3089" width="11.5" style="56" customWidth="1"/>
    <col min="3090" max="3090" width="6.1640625" style="56" customWidth="1"/>
    <col min="3091" max="3091" width="22.83203125" style="56" customWidth="1"/>
    <col min="3092" max="3092" width="11.5" style="56" customWidth="1"/>
    <col min="3093" max="3093" width="13.83203125" style="56" customWidth="1"/>
    <col min="3094" max="3094" width="5.83203125" style="56" customWidth="1"/>
    <col min="3095" max="3095" width="15.5" style="56" customWidth="1"/>
    <col min="3096" max="3336" width="11.5" style="56"/>
    <col min="3337" max="3337" width="0.5" style="56" customWidth="1"/>
    <col min="3338" max="3338" width="3.1640625" style="56" customWidth="1"/>
    <col min="3339" max="3339" width="8.83203125" style="56" customWidth="1"/>
    <col min="3340" max="3340" width="14.83203125" style="56" customWidth="1"/>
    <col min="3341" max="3342" width="6.5" style="56" customWidth="1"/>
    <col min="3343" max="3343" width="14.83203125" style="56" customWidth="1"/>
    <col min="3344" max="3345" width="11.5" style="56" customWidth="1"/>
    <col min="3346" max="3346" width="6.1640625" style="56" customWidth="1"/>
    <col min="3347" max="3347" width="22.83203125" style="56" customWidth="1"/>
    <col min="3348" max="3348" width="11.5" style="56" customWidth="1"/>
    <col min="3349" max="3349" width="13.83203125" style="56" customWidth="1"/>
    <col min="3350" max="3350" width="5.83203125" style="56" customWidth="1"/>
    <col min="3351" max="3351" width="15.5" style="56" customWidth="1"/>
    <col min="3352" max="3592" width="11.5" style="56"/>
    <col min="3593" max="3593" width="0.5" style="56" customWidth="1"/>
    <col min="3594" max="3594" width="3.1640625" style="56" customWidth="1"/>
    <col min="3595" max="3595" width="8.83203125" style="56" customWidth="1"/>
    <col min="3596" max="3596" width="14.83203125" style="56" customWidth="1"/>
    <col min="3597" max="3598" width="6.5" style="56" customWidth="1"/>
    <col min="3599" max="3599" width="14.83203125" style="56" customWidth="1"/>
    <col min="3600" max="3601" width="11.5" style="56" customWidth="1"/>
    <col min="3602" max="3602" width="6.1640625" style="56" customWidth="1"/>
    <col min="3603" max="3603" width="22.83203125" style="56" customWidth="1"/>
    <col min="3604" max="3604" width="11.5" style="56" customWidth="1"/>
    <col min="3605" max="3605" width="13.83203125" style="56" customWidth="1"/>
    <col min="3606" max="3606" width="5.83203125" style="56" customWidth="1"/>
    <col min="3607" max="3607" width="15.5" style="56" customWidth="1"/>
    <col min="3608" max="3848" width="11.5" style="56"/>
    <col min="3849" max="3849" width="0.5" style="56" customWidth="1"/>
    <col min="3850" max="3850" width="3.1640625" style="56" customWidth="1"/>
    <col min="3851" max="3851" width="8.83203125" style="56" customWidth="1"/>
    <col min="3852" max="3852" width="14.83203125" style="56" customWidth="1"/>
    <col min="3853" max="3854" width="6.5" style="56" customWidth="1"/>
    <col min="3855" max="3855" width="14.83203125" style="56" customWidth="1"/>
    <col min="3856" max="3857" width="11.5" style="56" customWidth="1"/>
    <col min="3858" max="3858" width="6.1640625" style="56" customWidth="1"/>
    <col min="3859" max="3859" width="22.83203125" style="56" customWidth="1"/>
    <col min="3860" max="3860" width="11.5" style="56" customWidth="1"/>
    <col min="3861" max="3861" width="13.83203125" style="56" customWidth="1"/>
    <col min="3862" max="3862" width="5.83203125" style="56" customWidth="1"/>
    <col min="3863" max="3863" width="15.5" style="56" customWidth="1"/>
    <col min="3864" max="4104" width="11.5" style="56"/>
    <col min="4105" max="4105" width="0.5" style="56" customWidth="1"/>
    <col min="4106" max="4106" width="3.1640625" style="56" customWidth="1"/>
    <col min="4107" max="4107" width="8.83203125" style="56" customWidth="1"/>
    <col min="4108" max="4108" width="14.83203125" style="56" customWidth="1"/>
    <col min="4109" max="4110" width="6.5" style="56" customWidth="1"/>
    <col min="4111" max="4111" width="14.83203125" style="56" customWidth="1"/>
    <col min="4112" max="4113" width="11.5" style="56" customWidth="1"/>
    <col min="4114" max="4114" width="6.1640625" style="56" customWidth="1"/>
    <col min="4115" max="4115" width="22.83203125" style="56" customWidth="1"/>
    <col min="4116" max="4116" width="11.5" style="56" customWidth="1"/>
    <col min="4117" max="4117" width="13.83203125" style="56" customWidth="1"/>
    <col min="4118" max="4118" width="5.83203125" style="56" customWidth="1"/>
    <col min="4119" max="4119" width="15.5" style="56" customWidth="1"/>
    <col min="4120" max="4360" width="11.5" style="56"/>
    <col min="4361" max="4361" width="0.5" style="56" customWidth="1"/>
    <col min="4362" max="4362" width="3.1640625" style="56" customWidth="1"/>
    <col min="4363" max="4363" width="8.83203125" style="56" customWidth="1"/>
    <col min="4364" max="4364" width="14.83203125" style="56" customWidth="1"/>
    <col min="4365" max="4366" width="6.5" style="56" customWidth="1"/>
    <col min="4367" max="4367" width="14.83203125" style="56" customWidth="1"/>
    <col min="4368" max="4369" width="11.5" style="56" customWidth="1"/>
    <col min="4370" max="4370" width="6.1640625" style="56" customWidth="1"/>
    <col min="4371" max="4371" width="22.83203125" style="56" customWidth="1"/>
    <col min="4372" max="4372" width="11.5" style="56" customWidth="1"/>
    <col min="4373" max="4373" width="13.83203125" style="56" customWidth="1"/>
    <col min="4374" max="4374" width="5.83203125" style="56" customWidth="1"/>
    <col min="4375" max="4375" width="15.5" style="56" customWidth="1"/>
    <col min="4376" max="4616" width="11.5" style="56"/>
    <col min="4617" max="4617" width="0.5" style="56" customWidth="1"/>
    <col min="4618" max="4618" width="3.1640625" style="56" customWidth="1"/>
    <col min="4619" max="4619" width="8.83203125" style="56" customWidth="1"/>
    <col min="4620" max="4620" width="14.83203125" style="56" customWidth="1"/>
    <col min="4621" max="4622" width="6.5" style="56" customWidth="1"/>
    <col min="4623" max="4623" width="14.83203125" style="56" customWidth="1"/>
    <col min="4624" max="4625" width="11.5" style="56" customWidth="1"/>
    <col min="4626" max="4626" width="6.1640625" style="56" customWidth="1"/>
    <col min="4627" max="4627" width="22.83203125" style="56" customWidth="1"/>
    <col min="4628" max="4628" width="11.5" style="56" customWidth="1"/>
    <col min="4629" max="4629" width="13.83203125" style="56" customWidth="1"/>
    <col min="4630" max="4630" width="5.83203125" style="56" customWidth="1"/>
    <col min="4631" max="4631" width="15.5" style="56" customWidth="1"/>
    <col min="4632" max="4872" width="11.5" style="56"/>
    <col min="4873" max="4873" width="0.5" style="56" customWidth="1"/>
    <col min="4874" max="4874" width="3.1640625" style="56" customWidth="1"/>
    <col min="4875" max="4875" width="8.83203125" style="56" customWidth="1"/>
    <col min="4876" max="4876" width="14.83203125" style="56" customWidth="1"/>
    <col min="4877" max="4878" width="6.5" style="56" customWidth="1"/>
    <col min="4879" max="4879" width="14.83203125" style="56" customWidth="1"/>
    <col min="4880" max="4881" width="11.5" style="56" customWidth="1"/>
    <col min="4882" max="4882" width="6.1640625" style="56" customWidth="1"/>
    <col min="4883" max="4883" width="22.83203125" style="56" customWidth="1"/>
    <col min="4884" max="4884" width="11.5" style="56" customWidth="1"/>
    <col min="4885" max="4885" width="13.83203125" style="56" customWidth="1"/>
    <col min="4886" max="4886" width="5.83203125" style="56" customWidth="1"/>
    <col min="4887" max="4887" width="15.5" style="56" customWidth="1"/>
    <col min="4888" max="5128" width="11.5" style="56"/>
    <col min="5129" max="5129" width="0.5" style="56" customWidth="1"/>
    <col min="5130" max="5130" width="3.1640625" style="56" customWidth="1"/>
    <col min="5131" max="5131" width="8.83203125" style="56" customWidth="1"/>
    <col min="5132" max="5132" width="14.83203125" style="56" customWidth="1"/>
    <col min="5133" max="5134" width="6.5" style="56" customWidth="1"/>
    <col min="5135" max="5135" width="14.83203125" style="56" customWidth="1"/>
    <col min="5136" max="5137" width="11.5" style="56" customWidth="1"/>
    <col min="5138" max="5138" width="6.1640625" style="56" customWidth="1"/>
    <col min="5139" max="5139" width="22.83203125" style="56" customWidth="1"/>
    <col min="5140" max="5140" width="11.5" style="56" customWidth="1"/>
    <col min="5141" max="5141" width="13.83203125" style="56" customWidth="1"/>
    <col min="5142" max="5142" width="5.83203125" style="56" customWidth="1"/>
    <col min="5143" max="5143" width="15.5" style="56" customWidth="1"/>
    <col min="5144" max="5384" width="11.5" style="56"/>
    <col min="5385" max="5385" width="0.5" style="56" customWidth="1"/>
    <col min="5386" max="5386" width="3.1640625" style="56" customWidth="1"/>
    <col min="5387" max="5387" width="8.83203125" style="56" customWidth="1"/>
    <col min="5388" max="5388" width="14.83203125" style="56" customWidth="1"/>
    <col min="5389" max="5390" width="6.5" style="56" customWidth="1"/>
    <col min="5391" max="5391" width="14.83203125" style="56" customWidth="1"/>
    <col min="5392" max="5393" width="11.5" style="56" customWidth="1"/>
    <col min="5394" max="5394" width="6.1640625" style="56" customWidth="1"/>
    <col min="5395" max="5395" width="22.83203125" style="56" customWidth="1"/>
    <col min="5396" max="5396" width="11.5" style="56" customWidth="1"/>
    <col min="5397" max="5397" width="13.83203125" style="56" customWidth="1"/>
    <col min="5398" max="5398" width="5.83203125" style="56" customWidth="1"/>
    <col min="5399" max="5399" width="15.5" style="56" customWidth="1"/>
    <col min="5400" max="5640" width="11.5" style="56"/>
    <col min="5641" max="5641" width="0.5" style="56" customWidth="1"/>
    <col min="5642" max="5642" width="3.1640625" style="56" customWidth="1"/>
    <col min="5643" max="5643" width="8.83203125" style="56" customWidth="1"/>
    <col min="5644" max="5644" width="14.83203125" style="56" customWidth="1"/>
    <col min="5645" max="5646" width="6.5" style="56" customWidth="1"/>
    <col min="5647" max="5647" width="14.83203125" style="56" customWidth="1"/>
    <col min="5648" max="5649" width="11.5" style="56" customWidth="1"/>
    <col min="5650" max="5650" width="6.1640625" style="56" customWidth="1"/>
    <col min="5651" max="5651" width="22.83203125" style="56" customWidth="1"/>
    <col min="5652" max="5652" width="11.5" style="56" customWidth="1"/>
    <col min="5653" max="5653" width="13.83203125" style="56" customWidth="1"/>
    <col min="5654" max="5654" width="5.83203125" style="56" customWidth="1"/>
    <col min="5655" max="5655" width="15.5" style="56" customWidth="1"/>
    <col min="5656" max="5896" width="11.5" style="56"/>
    <col min="5897" max="5897" width="0.5" style="56" customWidth="1"/>
    <col min="5898" max="5898" width="3.1640625" style="56" customWidth="1"/>
    <col min="5899" max="5899" width="8.83203125" style="56" customWidth="1"/>
    <col min="5900" max="5900" width="14.83203125" style="56" customWidth="1"/>
    <col min="5901" max="5902" width="6.5" style="56" customWidth="1"/>
    <col min="5903" max="5903" width="14.83203125" style="56" customWidth="1"/>
    <col min="5904" max="5905" width="11.5" style="56" customWidth="1"/>
    <col min="5906" max="5906" width="6.1640625" style="56" customWidth="1"/>
    <col min="5907" max="5907" width="22.83203125" style="56" customWidth="1"/>
    <col min="5908" max="5908" width="11.5" style="56" customWidth="1"/>
    <col min="5909" max="5909" width="13.83203125" style="56" customWidth="1"/>
    <col min="5910" max="5910" width="5.83203125" style="56" customWidth="1"/>
    <col min="5911" max="5911" width="15.5" style="56" customWidth="1"/>
    <col min="5912" max="6152" width="11.5" style="56"/>
    <col min="6153" max="6153" width="0.5" style="56" customWidth="1"/>
    <col min="6154" max="6154" width="3.1640625" style="56" customWidth="1"/>
    <col min="6155" max="6155" width="8.83203125" style="56" customWidth="1"/>
    <col min="6156" max="6156" width="14.83203125" style="56" customWidth="1"/>
    <col min="6157" max="6158" width="6.5" style="56" customWidth="1"/>
    <col min="6159" max="6159" width="14.83203125" style="56" customWidth="1"/>
    <col min="6160" max="6161" width="11.5" style="56" customWidth="1"/>
    <col min="6162" max="6162" width="6.1640625" style="56" customWidth="1"/>
    <col min="6163" max="6163" width="22.83203125" style="56" customWidth="1"/>
    <col min="6164" max="6164" width="11.5" style="56" customWidth="1"/>
    <col min="6165" max="6165" width="13.83203125" style="56" customWidth="1"/>
    <col min="6166" max="6166" width="5.83203125" style="56" customWidth="1"/>
    <col min="6167" max="6167" width="15.5" style="56" customWidth="1"/>
    <col min="6168" max="6408" width="11.5" style="56"/>
    <col min="6409" max="6409" width="0.5" style="56" customWidth="1"/>
    <col min="6410" max="6410" width="3.1640625" style="56" customWidth="1"/>
    <col min="6411" max="6411" width="8.83203125" style="56" customWidth="1"/>
    <col min="6412" max="6412" width="14.83203125" style="56" customWidth="1"/>
    <col min="6413" max="6414" width="6.5" style="56" customWidth="1"/>
    <col min="6415" max="6415" width="14.83203125" style="56" customWidth="1"/>
    <col min="6416" max="6417" width="11.5" style="56" customWidth="1"/>
    <col min="6418" max="6418" width="6.1640625" style="56" customWidth="1"/>
    <col min="6419" max="6419" width="22.83203125" style="56" customWidth="1"/>
    <col min="6420" max="6420" width="11.5" style="56" customWidth="1"/>
    <col min="6421" max="6421" width="13.83203125" style="56" customWidth="1"/>
    <col min="6422" max="6422" width="5.83203125" style="56" customWidth="1"/>
    <col min="6423" max="6423" width="15.5" style="56" customWidth="1"/>
    <col min="6424" max="6664" width="11.5" style="56"/>
    <col min="6665" max="6665" width="0.5" style="56" customWidth="1"/>
    <col min="6666" max="6666" width="3.1640625" style="56" customWidth="1"/>
    <col min="6667" max="6667" width="8.83203125" style="56" customWidth="1"/>
    <col min="6668" max="6668" width="14.83203125" style="56" customWidth="1"/>
    <col min="6669" max="6670" width="6.5" style="56" customWidth="1"/>
    <col min="6671" max="6671" width="14.83203125" style="56" customWidth="1"/>
    <col min="6672" max="6673" width="11.5" style="56" customWidth="1"/>
    <col min="6674" max="6674" width="6.1640625" style="56" customWidth="1"/>
    <col min="6675" max="6675" width="22.83203125" style="56" customWidth="1"/>
    <col min="6676" max="6676" width="11.5" style="56" customWidth="1"/>
    <col min="6677" max="6677" width="13.83203125" style="56" customWidth="1"/>
    <col min="6678" max="6678" width="5.83203125" style="56" customWidth="1"/>
    <col min="6679" max="6679" width="15.5" style="56" customWidth="1"/>
    <col min="6680" max="6920" width="11.5" style="56"/>
    <col min="6921" max="6921" width="0.5" style="56" customWidth="1"/>
    <col min="6922" max="6922" width="3.1640625" style="56" customWidth="1"/>
    <col min="6923" max="6923" width="8.83203125" style="56" customWidth="1"/>
    <col min="6924" max="6924" width="14.83203125" style="56" customWidth="1"/>
    <col min="6925" max="6926" width="6.5" style="56" customWidth="1"/>
    <col min="6927" max="6927" width="14.83203125" style="56" customWidth="1"/>
    <col min="6928" max="6929" width="11.5" style="56" customWidth="1"/>
    <col min="6930" max="6930" width="6.1640625" style="56" customWidth="1"/>
    <col min="6931" max="6931" width="22.83203125" style="56" customWidth="1"/>
    <col min="6932" max="6932" width="11.5" style="56" customWidth="1"/>
    <col min="6933" max="6933" width="13.83203125" style="56" customWidth="1"/>
    <col min="6934" max="6934" width="5.83203125" style="56" customWidth="1"/>
    <col min="6935" max="6935" width="15.5" style="56" customWidth="1"/>
    <col min="6936" max="7176" width="11.5" style="56"/>
    <col min="7177" max="7177" width="0.5" style="56" customWidth="1"/>
    <col min="7178" max="7178" width="3.1640625" style="56" customWidth="1"/>
    <col min="7179" max="7179" width="8.83203125" style="56" customWidth="1"/>
    <col min="7180" max="7180" width="14.83203125" style="56" customWidth="1"/>
    <col min="7181" max="7182" width="6.5" style="56" customWidth="1"/>
    <col min="7183" max="7183" width="14.83203125" style="56" customWidth="1"/>
    <col min="7184" max="7185" width="11.5" style="56" customWidth="1"/>
    <col min="7186" max="7186" width="6.1640625" style="56" customWidth="1"/>
    <col min="7187" max="7187" width="22.83203125" style="56" customWidth="1"/>
    <col min="7188" max="7188" width="11.5" style="56" customWidth="1"/>
    <col min="7189" max="7189" width="13.83203125" style="56" customWidth="1"/>
    <col min="7190" max="7190" width="5.83203125" style="56" customWidth="1"/>
    <col min="7191" max="7191" width="15.5" style="56" customWidth="1"/>
    <col min="7192" max="7432" width="11.5" style="56"/>
    <col min="7433" max="7433" width="0.5" style="56" customWidth="1"/>
    <col min="7434" max="7434" width="3.1640625" style="56" customWidth="1"/>
    <col min="7435" max="7435" width="8.83203125" style="56" customWidth="1"/>
    <col min="7436" max="7436" width="14.83203125" style="56" customWidth="1"/>
    <col min="7437" max="7438" width="6.5" style="56" customWidth="1"/>
    <col min="7439" max="7439" width="14.83203125" style="56" customWidth="1"/>
    <col min="7440" max="7441" width="11.5" style="56" customWidth="1"/>
    <col min="7442" max="7442" width="6.1640625" style="56" customWidth="1"/>
    <col min="7443" max="7443" width="22.83203125" style="56" customWidth="1"/>
    <col min="7444" max="7444" width="11.5" style="56" customWidth="1"/>
    <col min="7445" max="7445" width="13.83203125" style="56" customWidth="1"/>
    <col min="7446" max="7446" width="5.83203125" style="56" customWidth="1"/>
    <col min="7447" max="7447" width="15.5" style="56" customWidth="1"/>
    <col min="7448" max="7688" width="11.5" style="56"/>
    <col min="7689" max="7689" width="0.5" style="56" customWidth="1"/>
    <col min="7690" max="7690" width="3.1640625" style="56" customWidth="1"/>
    <col min="7691" max="7691" width="8.83203125" style="56" customWidth="1"/>
    <col min="7692" max="7692" width="14.83203125" style="56" customWidth="1"/>
    <col min="7693" max="7694" width="6.5" style="56" customWidth="1"/>
    <col min="7695" max="7695" width="14.83203125" style="56" customWidth="1"/>
    <col min="7696" max="7697" width="11.5" style="56" customWidth="1"/>
    <col min="7698" max="7698" width="6.1640625" style="56" customWidth="1"/>
    <col min="7699" max="7699" width="22.83203125" style="56" customWidth="1"/>
    <col min="7700" max="7700" width="11.5" style="56" customWidth="1"/>
    <col min="7701" max="7701" width="13.83203125" style="56" customWidth="1"/>
    <col min="7702" max="7702" width="5.83203125" style="56" customWidth="1"/>
    <col min="7703" max="7703" width="15.5" style="56" customWidth="1"/>
    <col min="7704" max="7944" width="11.5" style="56"/>
    <col min="7945" max="7945" width="0.5" style="56" customWidth="1"/>
    <col min="7946" max="7946" width="3.1640625" style="56" customWidth="1"/>
    <col min="7947" max="7947" width="8.83203125" style="56" customWidth="1"/>
    <col min="7948" max="7948" width="14.83203125" style="56" customWidth="1"/>
    <col min="7949" max="7950" width="6.5" style="56" customWidth="1"/>
    <col min="7951" max="7951" width="14.83203125" style="56" customWidth="1"/>
    <col min="7952" max="7953" width="11.5" style="56" customWidth="1"/>
    <col min="7954" max="7954" width="6.1640625" style="56" customWidth="1"/>
    <col min="7955" max="7955" width="22.83203125" style="56" customWidth="1"/>
    <col min="7956" max="7956" width="11.5" style="56" customWidth="1"/>
    <col min="7957" max="7957" width="13.83203125" style="56" customWidth="1"/>
    <col min="7958" max="7958" width="5.83203125" style="56" customWidth="1"/>
    <col min="7959" max="7959" width="15.5" style="56" customWidth="1"/>
    <col min="7960" max="8200" width="11.5" style="56"/>
    <col min="8201" max="8201" width="0.5" style="56" customWidth="1"/>
    <col min="8202" max="8202" width="3.1640625" style="56" customWidth="1"/>
    <col min="8203" max="8203" width="8.83203125" style="56" customWidth="1"/>
    <col min="8204" max="8204" width="14.83203125" style="56" customWidth="1"/>
    <col min="8205" max="8206" width="6.5" style="56" customWidth="1"/>
    <col min="8207" max="8207" width="14.83203125" style="56" customWidth="1"/>
    <col min="8208" max="8209" width="11.5" style="56" customWidth="1"/>
    <col min="8210" max="8210" width="6.1640625" style="56" customWidth="1"/>
    <col min="8211" max="8211" width="22.83203125" style="56" customWidth="1"/>
    <col min="8212" max="8212" width="11.5" style="56" customWidth="1"/>
    <col min="8213" max="8213" width="13.83203125" style="56" customWidth="1"/>
    <col min="8214" max="8214" width="5.83203125" style="56" customWidth="1"/>
    <col min="8215" max="8215" width="15.5" style="56" customWidth="1"/>
    <col min="8216" max="8456" width="11.5" style="56"/>
    <col min="8457" max="8457" width="0.5" style="56" customWidth="1"/>
    <col min="8458" max="8458" width="3.1640625" style="56" customWidth="1"/>
    <col min="8459" max="8459" width="8.83203125" style="56" customWidth="1"/>
    <col min="8460" max="8460" width="14.83203125" style="56" customWidth="1"/>
    <col min="8461" max="8462" width="6.5" style="56" customWidth="1"/>
    <col min="8463" max="8463" width="14.83203125" style="56" customWidth="1"/>
    <col min="8464" max="8465" width="11.5" style="56" customWidth="1"/>
    <col min="8466" max="8466" width="6.1640625" style="56" customWidth="1"/>
    <col min="8467" max="8467" width="22.83203125" style="56" customWidth="1"/>
    <col min="8468" max="8468" width="11.5" style="56" customWidth="1"/>
    <col min="8469" max="8469" width="13.83203125" style="56" customWidth="1"/>
    <col min="8470" max="8470" width="5.83203125" style="56" customWidth="1"/>
    <col min="8471" max="8471" width="15.5" style="56" customWidth="1"/>
    <col min="8472" max="8712" width="11.5" style="56"/>
    <col min="8713" max="8713" width="0.5" style="56" customWidth="1"/>
    <col min="8714" max="8714" width="3.1640625" style="56" customWidth="1"/>
    <col min="8715" max="8715" width="8.83203125" style="56" customWidth="1"/>
    <col min="8716" max="8716" width="14.83203125" style="56" customWidth="1"/>
    <col min="8717" max="8718" width="6.5" style="56" customWidth="1"/>
    <col min="8719" max="8719" width="14.83203125" style="56" customWidth="1"/>
    <col min="8720" max="8721" width="11.5" style="56" customWidth="1"/>
    <col min="8722" max="8722" width="6.1640625" style="56" customWidth="1"/>
    <col min="8723" max="8723" width="22.83203125" style="56" customWidth="1"/>
    <col min="8724" max="8724" width="11.5" style="56" customWidth="1"/>
    <col min="8725" max="8725" width="13.83203125" style="56" customWidth="1"/>
    <col min="8726" max="8726" width="5.83203125" style="56" customWidth="1"/>
    <col min="8727" max="8727" width="15.5" style="56" customWidth="1"/>
    <col min="8728" max="8968" width="11.5" style="56"/>
    <col min="8969" max="8969" width="0.5" style="56" customWidth="1"/>
    <col min="8970" max="8970" width="3.1640625" style="56" customWidth="1"/>
    <col min="8971" max="8971" width="8.83203125" style="56" customWidth="1"/>
    <col min="8972" max="8972" width="14.83203125" style="56" customWidth="1"/>
    <col min="8973" max="8974" width="6.5" style="56" customWidth="1"/>
    <col min="8975" max="8975" width="14.83203125" style="56" customWidth="1"/>
    <col min="8976" max="8977" width="11.5" style="56" customWidth="1"/>
    <col min="8978" max="8978" width="6.1640625" style="56" customWidth="1"/>
    <col min="8979" max="8979" width="22.83203125" style="56" customWidth="1"/>
    <col min="8980" max="8980" width="11.5" style="56" customWidth="1"/>
    <col min="8981" max="8981" width="13.83203125" style="56" customWidth="1"/>
    <col min="8982" max="8982" width="5.83203125" style="56" customWidth="1"/>
    <col min="8983" max="8983" width="15.5" style="56" customWidth="1"/>
    <col min="8984" max="9224" width="11.5" style="56"/>
    <col min="9225" max="9225" width="0.5" style="56" customWidth="1"/>
    <col min="9226" max="9226" width="3.1640625" style="56" customWidth="1"/>
    <col min="9227" max="9227" width="8.83203125" style="56" customWidth="1"/>
    <col min="9228" max="9228" width="14.83203125" style="56" customWidth="1"/>
    <col min="9229" max="9230" width="6.5" style="56" customWidth="1"/>
    <col min="9231" max="9231" width="14.83203125" style="56" customWidth="1"/>
    <col min="9232" max="9233" width="11.5" style="56" customWidth="1"/>
    <col min="9234" max="9234" width="6.1640625" style="56" customWidth="1"/>
    <col min="9235" max="9235" width="22.83203125" style="56" customWidth="1"/>
    <col min="9236" max="9236" width="11.5" style="56" customWidth="1"/>
    <col min="9237" max="9237" width="13.83203125" style="56" customWidth="1"/>
    <col min="9238" max="9238" width="5.83203125" style="56" customWidth="1"/>
    <col min="9239" max="9239" width="15.5" style="56" customWidth="1"/>
    <col min="9240" max="9480" width="11.5" style="56"/>
    <col min="9481" max="9481" width="0.5" style="56" customWidth="1"/>
    <col min="9482" max="9482" width="3.1640625" style="56" customWidth="1"/>
    <col min="9483" max="9483" width="8.83203125" style="56" customWidth="1"/>
    <col min="9484" max="9484" width="14.83203125" style="56" customWidth="1"/>
    <col min="9485" max="9486" width="6.5" style="56" customWidth="1"/>
    <col min="9487" max="9487" width="14.83203125" style="56" customWidth="1"/>
    <col min="9488" max="9489" width="11.5" style="56" customWidth="1"/>
    <col min="9490" max="9490" width="6.1640625" style="56" customWidth="1"/>
    <col min="9491" max="9491" width="22.83203125" style="56" customWidth="1"/>
    <col min="9492" max="9492" width="11.5" style="56" customWidth="1"/>
    <col min="9493" max="9493" width="13.83203125" style="56" customWidth="1"/>
    <col min="9494" max="9494" width="5.83203125" style="56" customWidth="1"/>
    <col min="9495" max="9495" width="15.5" style="56" customWidth="1"/>
    <col min="9496" max="9736" width="11.5" style="56"/>
    <col min="9737" max="9737" width="0.5" style="56" customWidth="1"/>
    <col min="9738" max="9738" width="3.1640625" style="56" customWidth="1"/>
    <col min="9739" max="9739" width="8.83203125" style="56" customWidth="1"/>
    <col min="9740" max="9740" width="14.83203125" style="56" customWidth="1"/>
    <col min="9741" max="9742" width="6.5" style="56" customWidth="1"/>
    <col min="9743" max="9743" width="14.83203125" style="56" customWidth="1"/>
    <col min="9744" max="9745" width="11.5" style="56" customWidth="1"/>
    <col min="9746" max="9746" width="6.1640625" style="56" customWidth="1"/>
    <col min="9747" max="9747" width="22.83203125" style="56" customWidth="1"/>
    <col min="9748" max="9748" width="11.5" style="56" customWidth="1"/>
    <col min="9749" max="9749" width="13.83203125" style="56" customWidth="1"/>
    <col min="9750" max="9750" width="5.83203125" style="56" customWidth="1"/>
    <col min="9751" max="9751" width="15.5" style="56" customWidth="1"/>
    <col min="9752" max="9992" width="11.5" style="56"/>
    <col min="9993" max="9993" width="0.5" style="56" customWidth="1"/>
    <col min="9994" max="9994" width="3.1640625" style="56" customWidth="1"/>
    <col min="9995" max="9995" width="8.83203125" style="56" customWidth="1"/>
    <col min="9996" max="9996" width="14.83203125" style="56" customWidth="1"/>
    <col min="9997" max="9998" width="6.5" style="56" customWidth="1"/>
    <col min="9999" max="9999" width="14.83203125" style="56" customWidth="1"/>
    <col min="10000" max="10001" width="11.5" style="56" customWidth="1"/>
    <col min="10002" max="10002" width="6.1640625" style="56" customWidth="1"/>
    <col min="10003" max="10003" width="22.83203125" style="56" customWidth="1"/>
    <col min="10004" max="10004" width="11.5" style="56" customWidth="1"/>
    <col min="10005" max="10005" width="13.83203125" style="56" customWidth="1"/>
    <col min="10006" max="10006" width="5.83203125" style="56" customWidth="1"/>
    <col min="10007" max="10007" width="15.5" style="56" customWidth="1"/>
    <col min="10008" max="10248" width="11.5" style="56"/>
    <col min="10249" max="10249" width="0.5" style="56" customWidth="1"/>
    <col min="10250" max="10250" width="3.1640625" style="56" customWidth="1"/>
    <col min="10251" max="10251" width="8.83203125" style="56" customWidth="1"/>
    <col min="10252" max="10252" width="14.83203125" style="56" customWidth="1"/>
    <col min="10253" max="10254" width="6.5" style="56" customWidth="1"/>
    <col min="10255" max="10255" width="14.83203125" style="56" customWidth="1"/>
    <col min="10256" max="10257" width="11.5" style="56" customWidth="1"/>
    <col min="10258" max="10258" width="6.1640625" style="56" customWidth="1"/>
    <col min="10259" max="10259" width="22.83203125" style="56" customWidth="1"/>
    <col min="10260" max="10260" width="11.5" style="56" customWidth="1"/>
    <col min="10261" max="10261" width="13.83203125" style="56" customWidth="1"/>
    <col min="10262" max="10262" width="5.83203125" style="56" customWidth="1"/>
    <col min="10263" max="10263" width="15.5" style="56" customWidth="1"/>
    <col min="10264" max="10504" width="11.5" style="56"/>
    <col min="10505" max="10505" width="0.5" style="56" customWidth="1"/>
    <col min="10506" max="10506" width="3.1640625" style="56" customWidth="1"/>
    <col min="10507" max="10507" width="8.83203125" style="56" customWidth="1"/>
    <col min="10508" max="10508" width="14.83203125" style="56" customWidth="1"/>
    <col min="10509" max="10510" width="6.5" style="56" customWidth="1"/>
    <col min="10511" max="10511" width="14.83203125" style="56" customWidth="1"/>
    <col min="10512" max="10513" width="11.5" style="56" customWidth="1"/>
    <col min="10514" max="10514" width="6.1640625" style="56" customWidth="1"/>
    <col min="10515" max="10515" width="22.83203125" style="56" customWidth="1"/>
    <col min="10516" max="10516" width="11.5" style="56" customWidth="1"/>
    <col min="10517" max="10517" width="13.83203125" style="56" customWidth="1"/>
    <col min="10518" max="10518" width="5.83203125" style="56" customWidth="1"/>
    <col min="10519" max="10519" width="15.5" style="56" customWidth="1"/>
    <col min="10520" max="10760" width="11.5" style="56"/>
    <col min="10761" max="10761" width="0.5" style="56" customWidth="1"/>
    <col min="10762" max="10762" width="3.1640625" style="56" customWidth="1"/>
    <col min="10763" max="10763" width="8.83203125" style="56" customWidth="1"/>
    <col min="10764" max="10764" width="14.83203125" style="56" customWidth="1"/>
    <col min="10765" max="10766" width="6.5" style="56" customWidth="1"/>
    <col min="10767" max="10767" width="14.83203125" style="56" customWidth="1"/>
    <col min="10768" max="10769" width="11.5" style="56" customWidth="1"/>
    <col min="10770" max="10770" width="6.1640625" style="56" customWidth="1"/>
    <col min="10771" max="10771" width="22.83203125" style="56" customWidth="1"/>
    <col min="10772" max="10772" width="11.5" style="56" customWidth="1"/>
    <col min="10773" max="10773" width="13.83203125" style="56" customWidth="1"/>
    <col min="10774" max="10774" width="5.83203125" style="56" customWidth="1"/>
    <col min="10775" max="10775" width="15.5" style="56" customWidth="1"/>
    <col min="10776" max="11016" width="11.5" style="56"/>
    <col min="11017" max="11017" width="0.5" style="56" customWidth="1"/>
    <col min="11018" max="11018" width="3.1640625" style="56" customWidth="1"/>
    <col min="11019" max="11019" width="8.83203125" style="56" customWidth="1"/>
    <col min="11020" max="11020" width="14.83203125" style="56" customWidth="1"/>
    <col min="11021" max="11022" width="6.5" style="56" customWidth="1"/>
    <col min="11023" max="11023" width="14.83203125" style="56" customWidth="1"/>
    <col min="11024" max="11025" width="11.5" style="56" customWidth="1"/>
    <col min="11026" max="11026" width="6.1640625" style="56" customWidth="1"/>
    <col min="11027" max="11027" width="22.83203125" style="56" customWidth="1"/>
    <col min="11028" max="11028" width="11.5" style="56" customWidth="1"/>
    <col min="11029" max="11029" width="13.83203125" style="56" customWidth="1"/>
    <col min="11030" max="11030" width="5.83203125" style="56" customWidth="1"/>
    <col min="11031" max="11031" width="15.5" style="56" customWidth="1"/>
    <col min="11032" max="11272" width="11.5" style="56"/>
    <col min="11273" max="11273" width="0.5" style="56" customWidth="1"/>
    <col min="11274" max="11274" width="3.1640625" style="56" customWidth="1"/>
    <col min="11275" max="11275" width="8.83203125" style="56" customWidth="1"/>
    <col min="11276" max="11276" width="14.83203125" style="56" customWidth="1"/>
    <col min="11277" max="11278" width="6.5" style="56" customWidth="1"/>
    <col min="11279" max="11279" width="14.83203125" style="56" customWidth="1"/>
    <col min="11280" max="11281" width="11.5" style="56" customWidth="1"/>
    <col min="11282" max="11282" width="6.1640625" style="56" customWidth="1"/>
    <col min="11283" max="11283" width="22.83203125" style="56" customWidth="1"/>
    <col min="11284" max="11284" width="11.5" style="56" customWidth="1"/>
    <col min="11285" max="11285" width="13.83203125" style="56" customWidth="1"/>
    <col min="11286" max="11286" width="5.83203125" style="56" customWidth="1"/>
    <col min="11287" max="11287" width="15.5" style="56" customWidth="1"/>
    <col min="11288" max="11528" width="11.5" style="56"/>
    <col min="11529" max="11529" width="0.5" style="56" customWidth="1"/>
    <col min="11530" max="11530" width="3.1640625" style="56" customWidth="1"/>
    <col min="11531" max="11531" width="8.83203125" style="56" customWidth="1"/>
    <col min="11532" max="11532" width="14.83203125" style="56" customWidth="1"/>
    <col min="11533" max="11534" width="6.5" style="56" customWidth="1"/>
    <col min="11535" max="11535" width="14.83203125" style="56" customWidth="1"/>
    <col min="11536" max="11537" width="11.5" style="56" customWidth="1"/>
    <col min="11538" max="11538" width="6.1640625" style="56" customWidth="1"/>
    <col min="11539" max="11539" width="22.83203125" style="56" customWidth="1"/>
    <col min="11540" max="11540" width="11.5" style="56" customWidth="1"/>
    <col min="11541" max="11541" width="13.83203125" style="56" customWidth="1"/>
    <col min="11542" max="11542" width="5.83203125" style="56" customWidth="1"/>
    <col min="11543" max="11543" width="15.5" style="56" customWidth="1"/>
    <col min="11544" max="11784" width="11.5" style="56"/>
    <col min="11785" max="11785" width="0.5" style="56" customWidth="1"/>
    <col min="11786" max="11786" width="3.1640625" style="56" customWidth="1"/>
    <col min="11787" max="11787" width="8.83203125" style="56" customWidth="1"/>
    <col min="11788" max="11788" width="14.83203125" style="56" customWidth="1"/>
    <col min="11789" max="11790" width="6.5" style="56" customWidth="1"/>
    <col min="11791" max="11791" width="14.83203125" style="56" customWidth="1"/>
    <col min="11792" max="11793" width="11.5" style="56" customWidth="1"/>
    <col min="11794" max="11794" width="6.1640625" style="56" customWidth="1"/>
    <col min="11795" max="11795" width="22.83203125" style="56" customWidth="1"/>
    <col min="11796" max="11796" width="11.5" style="56" customWidth="1"/>
    <col min="11797" max="11797" width="13.83203125" style="56" customWidth="1"/>
    <col min="11798" max="11798" width="5.83203125" style="56" customWidth="1"/>
    <col min="11799" max="11799" width="15.5" style="56" customWidth="1"/>
    <col min="11800" max="12040" width="11.5" style="56"/>
    <col min="12041" max="12041" width="0.5" style="56" customWidth="1"/>
    <col min="12042" max="12042" width="3.1640625" style="56" customWidth="1"/>
    <col min="12043" max="12043" width="8.83203125" style="56" customWidth="1"/>
    <col min="12044" max="12044" width="14.83203125" style="56" customWidth="1"/>
    <col min="12045" max="12046" width="6.5" style="56" customWidth="1"/>
    <col min="12047" max="12047" width="14.83203125" style="56" customWidth="1"/>
    <col min="12048" max="12049" width="11.5" style="56" customWidth="1"/>
    <col min="12050" max="12050" width="6.1640625" style="56" customWidth="1"/>
    <col min="12051" max="12051" width="22.83203125" style="56" customWidth="1"/>
    <col min="12052" max="12052" width="11.5" style="56" customWidth="1"/>
    <col min="12053" max="12053" width="13.83203125" style="56" customWidth="1"/>
    <col min="12054" max="12054" width="5.83203125" style="56" customWidth="1"/>
    <col min="12055" max="12055" width="15.5" style="56" customWidth="1"/>
    <col min="12056" max="12296" width="11.5" style="56"/>
    <col min="12297" max="12297" width="0.5" style="56" customWidth="1"/>
    <col min="12298" max="12298" width="3.1640625" style="56" customWidth="1"/>
    <col min="12299" max="12299" width="8.83203125" style="56" customWidth="1"/>
    <col min="12300" max="12300" width="14.83203125" style="56" customWidth="1"/>
    <col min="12301" max="12302" width="6.5" style="56" customWidth="1"/>
    <col min="12303" max="12303" width="14.83203125" style="56" customWidth="1"/>
    <col min="12304" max="12305" width="11.5" style="56" customWidth="1"/>
    <col min="12306" max="12306" width="6.1640625" style="56" customWidth="1"/>
    <col min="12307" max="12307" width="22.83203125" style="56" customWidth="1"/>
    <col min="12308" max="12308" width="11.5" style="56" customWidth="1"/>
    <col min="12309" max="12309" width="13.83203125" style="56" customWidth="1"/>
    <col min="12310" max="12310" width="5.83203125" style="56" customWidth="1"/>
    <col min="12311" max="12311" width="15.5" style="56" customWidth="1"/>
    <col min="12312" max="12552" width="11.5" style="56"/>
    <col min="12553" max="12553" width="0.5" style="56" customWidth="1"/>
    <col min="12554" max="12554" width="3.1640625" style="56" customWidth="1"/>
    <col min="12555" max="12555" width="8.83203125" style="56" customWidth="1"/>
    <col min="12556" max="12556" width="14.83203125" style="56" customWidth="1"/>
    <col min="12557" max="12558" width="6.5" style="56" customWidth="1"/>
    <col min="12559" max="12559" width="14.83203125" style="56" customWidth="1"/>
    <col min="12560" max="12561" width="11.5" style="56" customWidth="1"/>
    <col min="12562" max="12562" width="6.1640625" style="56" customWidth="1"/>
    <col min="12563" max="12563" width="22.83203125" style="56" customWidth="1"/>
    <col min="12564" max="12564" width="11.5" style="56" customWidth="1"/>
    <col min="12565" max="12565" width="13.83203125" style="56" customWidth="1"/>
    <col min="12566" max="12566" width="5.83203125" style="56" customWidth="1"/>
    <col min="12567" max="12567" width="15.5" style="56" customWidth="1"/>
    <col min="12568" max="12808" width="11.5" style="56"/>
    <col min="12809" max="12809" width="0.5" style="56" customWidth="1"/>
    <col min="12810" max="12810" width="3.1640625" style="56" customWidth="1"/>
    <col min="12811" max="12811" width="8.83203125" style="56" customWidth="1"/>
    <col min="12812" max="12812" width="14.83203125" style="56" customWidth="1"/>
    <col min="12813" max="12814" width="6.5" style="56" customWidth="1"/>
    <col min="12815" max="12815" width="14.83203125" style="56" customWidth="1"/>
    <col min="12816" max="12817" width="11.5" style="56" customWidth="1"/>
    <col min="12818" max="12818" width="6.1640625" style="56" customWidth="1"/>
    <col min="12819" max="12819" width="22.83203125" style="56" customWidth="1"/>
    <col min="12820" max="12820" width="11.5" style="56" customWidth="1"/>
    <col min="12821" max="12821" width="13.83203125" style="56" customWidth="1"/>
    <col min="12822" max="12822" width="5.83203125" style="56" customWidth="1"/>
    <col min="12823" max="12823" width="15.5" style="56" customWidth="1"/>
    <col min="12824" max="13064" width="11.5" style="56"/>
    <col min="13065" max="13065" width="0.5" style="56" customWidth="1"/>
    <col min="13066" max="13066" width="3.1640625" style="56" customWidth="1"/>
    <col min="13067" max="13067" width="8.83203125" style="56" customWidth="1"/>
    <col min="13068" max="13068" width="14.83203125" style="56" customWidth="1"/>
    <col min="13069" max="13070" width="6.5" style="56" customWidth="1"/>
    <col min="13071" max="13071" width="14.83203125" style="56" customWidth="1"/>
    <col min="13072" max="13073" width="11.5" style="56" customWidth="1"/>
    <col min="13074" max="13074" width="6.1640625" style="56" customWidth="1"/>
    <col min="13075" max="13075" width="22.83203125" style="56" customWidth="1"/>
    <col min="13076" max="13076" width="11.5" style="56" customWidth="1"/>
    <col min="13077" max="13077" width="13.83203125" style="56" customWidth="1"/>
    <col min="13078" max="13078" width="5.83203125" style="56" customWidth="1"/>
    <col min="13079" max="13079" width="15.5" style="56" customWidth="1"/>
    <col min="13080" max="13320" width="11.5" style="56"/>
    <col min="13321" max="13321" width="0.5" style="56" customWidth="1"/>
    <col min="13322" max="13322" width="3.1640625" style="56" customWidth="1"/>
    <col min="13323" max="13323" width="8.83203125" style="56" customWidth="1"/>
    <col min="13324" max="13324" width="14.83203125" style="56" customWidth="1"/>
    <col min="13325" max="13326" width="6.5" style="56" customWidth="1"/>
    <col min="13327" max="13327" width="14.83203125" style="56" customWidth="1"/>
    <col min="13328" max="13329" width="11.5" style="56" customWidth="1"/>
    <col min="13330" max="13330" width="6.1640625" style="56" customWidth="1"/>
    <col min="13331" max="13331" width="22.83203125" style="56" customWidth="1"/>
    <col min="13332" max="13332" width="11.5" style="56" customWidth="1"/>
    <col min="13333" max="13333" width="13.83203125" style="56" customWidth="1"/>
    <col min="13334" max="13334" width="5.83203125" style="56" customWidth="1"/>
    <col min="13335" max="13335" width="15.5" style="56" customWidth="1"/>
    <col min="13336" max="13576" width="11.5" style="56"/>
    <col min="13577" max="13577" width="0.5" style="56" customWidth="1"/>
    <col min="13578" max="13578" width="3.1640625" style="56" customWidth="1"/>
    <col min="13579" max="13579" width="8.83203125" style="56" customWidth="1"/>
    <col min="13580" max="13580" width="14.83203125" style="56" customWidth="1"/>
    <col min="13581" max="13582" width="6.5" style="56" customWidth="1"/>
    <col min="13583" max="13583" width="14.83203125" style="56" customWidth="1"/>
    <col min="13584" max="13585" width="11.5" style="56" customWidth="1"/>
    <col min="13586" max="13586" width="6.1640625" style="56" customWidth="1"/>
    <col min="13587" max="13587" width="22.83203125" style="56" customWidth="1"/>
    <col min="13588" max="13588" width="11.5" style="56" customWidth="1"/>
    <col min="13589" max="13589" width="13.83203125" style="56" customWidth="1"/>
    <col min="13590" max="13590" width="5.83203125" style="56" customWidth="1"/>
    <col min="13591" max="13591" width="15.5" style="56" customWidth="1"/>
    <col min="13592" max="13832" width="11.5" style="56"/>
    <col min="13833" max="13833" width="0.5" style="56" customWidth="1"/>
    <col min="13834" max="13834" width="3.1640625" style="56" customWidth="1"/>
    <col min="13835" max="13835" width="8.83203125" style="56" customWidth="1"/>
    <col min="13836" max="13836" width="14.83203125" style="56" customWidth="1"/>
    <col min="13837" max="13838" width="6.5" style="56" customWidth="1"/>
    <col min="13839" max="13839" width="14.83203125" style="56" customWidth="1"/>
    <col min="13840" max="13841" width="11.5" style="56" customWidth="1"/>
    <col min="13842" max="13842" width="6.1640625" style="56" customWidth="1"/>
    <col min="13843" max="13843" width="22.83203125" style="56" customWidth="1"/>
    <col min="13844" max="13844" width="11.5" style="56" customWidth="1"/>
    <col min="13845" max="13845" width="13.83203125" style="56" customWidth="1"/>
    <col min="13846" max="13846" width="5.83203125" style="56" customWidth="1"/>
    <col min="13847" max="13847" width="15.5" style="56" customWidth="1"/>
    <col min="13848" max="14088" width="11.5" style="56"/>
    <col min="14089" max="14089" width="0.5" style="56" customWidth="1"/>
    <col min="14090" max="14090" width="3.1640625" style="56" customWidth="1"/>
    <col min="14091" max="14091" width="8.83203125" style="56" customWidth="1"/>
    <col min="14092" max="14092" width="14.83203125" style="56" customWidth="1"/>
    <col min="14093" max="14094" width="6.5" style="56" customWidth="1"/>
    <col min="14095" max="14095" width="14.83203125" style="56" customWidth="1"/>
    <col min="14096" max="14097" width="11.5" style="56" customWidth="1"/>
    <col min="14098" max="14098" width="6.1640625" style="56" customWidth="1"/>
    <col min="14099" max="14099" width="22.83203125" style="56" customWidth="1"/>
    <col min="14100" max="14100" width="11.5" style="56" customWidth="1"/>
    <col min="14101" max="14101" width="13.83203125" style="56" customWidth="1"/>
    <col min="14102" max="14102" width="5.83203125" style="56" customWidth="1"/>
    <col min="14103" max="14103" width="15.5" style="56" customWidth="1"/>
    <col min="14104" max="14344" width="11.5" style="56"/>
    <col min="14345" max="14345" width="0.5" style="56" customWidth="1"/>
    <col min="14346" max="14346" width="3.1640625" style="56" customWidth="1"/>
    <col min="14347" max="14347" width="8.83203125" style="56" customWidth="1"/>
    <col min="14348" max="14348" width="14.83203125" style="56" customWidth="1"/>
    <col min="14349" max="14350" width="6.5" style="56" customWidth="1"/>
    <col min="14351" max="14351" width="14.83203125" style="56" customWidth="1"/>
    <col min="14352" max="14353" width="11.5" style="56" customWidth="1"/>
    <col min="14354" max="14354" width="6.1640625" style="56" customWidth="1"/>
    <col min="14355" max="14355" width="22.83203125" style="56" customWidth="1"/>
    <col min="14356" max="14356" width="11.5" style="56" customWidth="1"/>
    <col min="14357" max="14357" width="13.83203125" style="56" customWidth="1"/>
    <col min="14358" max="14358" width="5.83203125" style="56" customWidth="1"/>
    <col min="14359" max="14359" width="15.5" style="56" customWidth="1"/>
    <col min="14360" max="14600" width="11.5" style="56"/>
    <col min="14601" max="14601" width="0.5" style="56" customWidth="1"/>
    <col min="14602" max="14602" width="3.1640625" style="56" customWidth="1"/>
    <col min="14603" max="14603" width="8.83203125" style="56" customWidth="1"/>
    <col min="14604" max="14604" width="14.83203125" style="56" customWidth="1"/>
    <col min="14605" max="14606" width="6.5" style="56" customWidth="1"/>
    <col min="14607" max="14607" width="14.83203125" style="56" customWidth="1"/>
    <col min="14608" max="14609" width="11.5" style="56" customWidth="1"/>
    <col min="14610" max="14610" width="6.1640625" style="56" customWidth="1"/>
    <col min="14611" max="14611" width="22.83203125" style="56" customWidth="1"/>
    <col min="14612" max="14612" width="11.5" style="56" customWidth="1"/>
    <col min="14613" max="14613" width="13.83203125" style="56" customWidth="1"/>
    <col min="14614" max="14614" width="5.83203125" style="56" customWidth="1"/>
    <col min="14615" max="14615" width="15.5" style="56" customWidth="1"/>
    <col min="14616" max="14856" width="11.5" style="56"/>
    <col min="14857" max="14857" width="0.5" style="56" customWidth="1"/>
    <col min="14858" max="14858" width="3.1640625" style="56" customWidth="1"/>
    <col min="14859" max="14859" width="8.83203125" style="56" customWidth="1"/>
    <col min="14860" max="14860" width="14.83203125" style="56" customWidth="1"/>
    <col min="14861" max="14862" width="6.5" style="56" customWidth="1"/>
    <col min="14863" max="14863" width="14.83203125" style="56" customWidth="1"/>
    <col min="14864" max="14865" width="11.5" style="56" customWidth="1"/>
    <col min="14866" max="14866" width="6.1640625" style="56" customWidth="1"/>
    <col min="14867" max="14867" width="22.83203125" style="56" customWidth="1"/>
    <col min="14868" max="14868" width="11.5" style="56" customWidth="1"/>
    <col min="14869" max="14869" width="13.83203125" style="56" customWidth="1"/>
    <col min="14870" max="14870" width="5.83203125" style="56" customWidth="1"/>
    <col min="14871" max="14871" width="15.5" style="56" customWidth="1"/>
    <col min="14872" max="15112" width="11.5" style="56"/>
    <col min="15113" max="15113" width="0.5" style="56" customWidth="1"/>
    <col min="15114" max="15114" width="3.1640625" style="56" customWidth="1"/>
    <col min="15115" max="15115" width="8.83203125" style="56" customWidth="1"/>
    <col min="15116" max="15116" width="14.83203125" style="56" customWidth="1"/>
    <col min="15117" max="15118" width="6.5" style="56" customWidth="1"/>
    <col min="15119" max="15119" width="14.83203125" style="56" customWidth="1"/>
    <col min="15120" max="15121" width="11.5" style="56" customWidth="1"/>
    <col min="15122" max="15122" width="6.1640625" style="56" customWidth="1"/>
    <col min="15123" max="15123" width="22.83203125" style="56" customWidth="1"/>
    <col min="15124" max="15124" width="11.5" style="56" customWidth="1"/>
    <col min="15125" max="15125" width="13.83203125" style="56" customWidth="1"/>
    <col min="15126" max="15126" width="5.83203125" style="56" customWidth="1"/>
    <col min="15127" max="15127" width="15.5" style="56" customWidth="1"/>
    <col min="15128" max="15368" width="11.5" style="56"/>
    <col min="15369" max="15369" width="0.5" style="56" customWidth="1"/>
    <col min="15370" max="15370" width="3.1640625" style="56" customWidth="1"/>
    <col min="15371" max="15371" width="8.83203125" style="56" customWidth="1"/>
    <col min="15372" max="15372" width="14.83203125" style="56" customWidth="1"/>
    <col min="15373" max="15374" width="6.5" style="56" customWidth="1"/>
    <col min="15375" max="15375" width="14.83203125" style="56" customWidth="1"/>
    <col min="15376" max="15377" width="11.5" style="56" customWidth="1"/>
    <col min="15378" max="15378" width="6.1640625" style="56" customWidth="1"/>
    <col min="15379" max="15379" width="22.83203125" style="56" customWidth="1"/>
    <col min="15380" max="15380" width="11.5" style="56" customWidth="1"/>
    <col min="15381" max="15381" width="13.83203125" style="56" customWidth="1"/>
    <col min="15382" max="15382" width="5.83203125" style="56" customWidth="1"/>
    <col min="15383" max="15383" width="15.5" style="56" customWidth="1"/>
    <col min="15384" max="15624" width="11.5" style="56"/>
    <col min="15625" max="15625" width="0.5" style="56" customWidth="1"/>
    <col min="15626" max="15626" width="3.1640625" style="56" customWidth="1"/>
    <col min="15627" max="15627" width="8.83203125" style="56" customWidth="1"/>
    <col min="15628" max="15628" width="14.83203125" style="56" customWidth="1"/>
    <col min="15629" max="15630" width="6.5" style="56" customWidth="1"/>
    <col min="15631" max="15631" width="14.83203125" style="56" customWidth="1"/>
    <col min="15632" max="15633" width="11.5" style="56" customWidth="1"/>
    <col min="15634" max="15634" width="6.1640625" style="56" customWidth="1"/>
    <col min="15635" max="15635" width="22.83203125" style="56" customWidth="1"/>
    <col min="15636" max="15636" width="11.5" style="56" customWidth="1"/>
    <col min="15637" max="15637" width="13.83203125" style="56" customWidth="1"/>
    <col min="15638" max="15638" width="5.83203125" style="56" customWidth="1"/>
    <col min="15639" max="15639" width="15.5" style="56" customWidth="1"/>
    <col min="15640" max="15880" width="11.5" style="56"/>
    <col min="15881" max="15881" width="0.5" style="56" customWidth="1"/>
    <col min="15882" max="15882" width="3.1640625" style="56" customWidth="1"/>
    <col min="15883" max="15883" width="8.83203125" style="56" customWidth="1"/>
    <col min="15884" max="15884" width="14.83203125" style="56" customWidth="1"/>
    <col min="15885" max="15886" width="6.5" style="56" customWidth="1"/>
    <col min="15887" max="15887" width="14.83203125" style="56" customWidth="1"/>
    <col min="15888" max="15889" width="11.5" style="56" customWidth="1"/>
    <col min="15890" max="15890" width="6.1640625" style="56" customWidth="1"/>
    <col min="15891" max="15891" width="22.83203125" style="56" customWidth="1"/>
    <col min="15892" max="15892" width="11.5" style="56" customWidth="1"/>
    <col min="15893" max="15893" width="13.83203125" style="56" customWidth="1"/>
    <col min="15894" max="15894" width="5.83203125" style="56" customWidth="1"/>
    <col min="15895" max="15895" width="15.5" style="56" customWidth="1"/>
    <col min="15896" max="16136" width="11.5" style="56"/>
    <col min="16137" max="16137" width="0.5" style="56" customWidth="1"/>
    <col min="16138" max="16138" width="3.1640625" style="56" customWidth="1"/>
    <col min="16139" max="16139" width="8.83203125" style="56" customWidth="1"/>
    <col min="16140" max="16140" width="14.83203125" style="56" customWidth="1"/>
    <col min="16141" max="16142" width="6.5" style="56" customWidth="1"/>
    <col min="16143" max="16143" width="14.83203125" style="56" customWidth="1"/>
    <col min="16144" max="16145" width="11.5" style="56" customWidth="1"/>
    <col min="16146" max="16146" width="6.1640625" style="56" customWidth="1"/>
    <col min="16147" max="16147" width="22.83203125" style="56" customWidth="1"/>
    <col min="16148" max="16148" width="11.5" style="56" customWidth="1"/>
    <col min="16149" max="16149" width="13.83203125" style="56" customWidth="1"/>
    <col min="16150" max="16150" width="5.83203125" style="56" customWidth="1"/>
    <col min="16151" max="16151" width="15.5" style="56" customWidth="1"/>
    <col min="16152" max="16384" width="11.5" style="56"/>
  </cols>
  <sheetData>
    <row r="1" spans="1:34" ht="8" customHeight="1">
      <c r="K1" s="250"/>
      <c r="Q1" s="91"/>
      <c r="R1" s="91"/>
    </row>
    <row r="2" spans="1:34" ht="5" customHeight="1" thickBot="1">
      <c r="Q2" s="89"/>
      <c r="R2" s="89"/>
    </row>
    <row r="3" spans="1:34" s="57" customFormat="1" ht="17" customHeight="1">
      <c r="A3" s="468"/>
      <c r="B3" s="576" t="s">
        <v>115</v>
      </c>
      <c r="C3" s="577"/>
      <c r="D3" s="577"/>
      <c r="E3" s="577"/>
      <c r="F3" s="577"/>
      <c r="G3" s="577"/>
      <c r="H3" s="577"/>
      <c r="I3" s="577"/>
      <c r="J3" s="578"/>
      <c r="K3" s="95"/>
      <c r="L3" s="58"/>
      <c r="M3" s="274"/>
      <c r="N3" s="92"/>
      <c r="O3" s="93"/>
      <c r="Q3" s="90"/>
      <c r="R3" s="90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301"/>
    </row>
    <row r="4" spans="1:34" ht="6" customHeight="1" thickBot="1">
      <c r="B4" s="579"/>
      <c r="C4" s="580"/>
      <c r="D4" s="580"/>
      <c r="E4" s="580"/>
      <c r="F4" s="580"/>
      <c r="G4" s="580"/>
      <c r="H4" s="580"/>
      <c r="I4" s="580"/>
      <c r="J4" s="581"/>
      <c r="K4" s="95"/>
      <c r="L4" s="58"/>
      <c r="M4" s="58"/>
      <c r="N4" s="93"/>
      <c r="O4" s="93"/>
      <c r="P4" s="58"/>
      <c r="Q4" s="59"/>
      <c r="R4" s="59"/>
    </row>
    <row r="5" spans="1:34" ht="15" customHeight="1">
      <c r="B5" s="582" t="s">
        <v>283</v>
      </c>
      <c r="C5" s="583"/>
      <c r="D5" s="583"/>
      <c r="E5" s="583"/>
      <c r="F5" s="583" t="s">
        <v>27</v>
      </c>
      <c r="G5" s="583"/>
      <c r="H5" s="583"/>
      <c r="I5" s="583"/>
      <c r="J5" s="589"/>
      <c r="K5" s="584" t="s">
        <v>142</v>
      </c>
      <c r="L5" s="585"/>
      <c r="M5" s="585"/>
      <c r="N5" s="585" t="s">
        <v>365</v>
      </c>
      <c r="O5" s="585"/>
      <c r="P5" s="588"/>
      <c r="Q5" s="345" t="s">
        <v>143</v>
      </c>
      <c r="R5" s="92"/>
    </row>
    <row r="6" spans="1:34" ht="17" customHeight="1" thickBot="1">
      <c r="B6" s="592" t="str">
        <f>IF(Start!$D$4="","Dr. Max Mustermann",Start!$D$4)</f>
        <v>Dr. Max Mustermann</v>
      </c>
      <c r="C6" s="593"/>
      <c r="D6" s="593"/>
      <c r="E6" s="593"/>
      <c r="F6" s="593" t="str">
        <f>Start!$D$8</f>
        <v>Ärztin/Arzt in Ausbildung_BSO1994</v>
      </c>
      <c r="G6" s="593"/>
      <c r="H6" s="593"/>
      <c r="I6" s="593"/>
      <c r="J6" s="594"/>
      <c r="K6" s="590">
        <f>IF(SUM(N14:O44,L13:L44,AA51:AD51,AA52:AB52)=0,Datenblatt!J112,SUM(N14:O44,L13:L44,AA51:AD51,AA52:AB52,AH51:AH52))</f>
        <v>220.8</v>
      </c>
      <c r="L6" s="591"/>
      <c r="M6" s="591"/>
      <c r="N6" s="586">
        <f>COUNTIF(D14:E44,"ND")+COUNTIF(D14:E44,"ND12,5")</f>
        <v>0</v>
      </c>
      <c r="O6" s="586"/>
      <c r="P6" s="587"/>
      <c r="Q6" s="346">
        <f>IF(OR(Start!$D$10="",Start!$E$10=""),"",IF(Start!$D$8=Gehalt!$K$32,VLOOKUP($H$8,Gehalt!$A$4:$I$22,3,FALSE),IF(Start!$D$8=Gehalt!$K$33,VLOOKUP($H$8,Gehalt!$A$4:$I$22,4,FALSE),IF(Start!$D$8=Gehalt!$K$34,VLOOKUP($H$8,Gehalt!$A$4:$I$22,5,FALSE),IF(Start!$D$8=Gehalt!$K$35,VLOOKUP($H$8,Gehalt!$A$4:$I$22,6,FALSE),IF(Start!$D$8=Gehalt!$K$36,VLOOKUP($H$8,Gehalt!$A$4:$I$22,7,FALSE),IF(Start!$D$8=Gehalt!$K$37,VLOOKUP($H$8,Gehalt!$A$4:$I$22,6,FALSE),IF(Start!$D$8=Gehalt!$K$38,VLOOKUP($H$8,Gehalt!$A$4:$I$22,8,FALSE),IF(Start!$D$8=Gehalt!$K$39,VLOOKUP($H$8,Gehalt!$A$4:$I$22,8,FALSE),IF(Start!$D$8=Gehalt!$K$40,VLOOKUP($H$8,Gehalt!$A$4:$I$22,9,FALSE),IF(Start!$D$8=Gehalt!$K$41,VLOOKUP($H$8,Gehalt!$A$4:$I$22,9,FALSE))))))))))))</f>
        <v>5365.31</v>
      </c>
      <c r="R6" s="92"/>
      <c r="S6" s="92"/>
    </row>
    <row r="7" spans="1:34" ht="15" customHeight="1">
      <c r="B7" s="582" t="s">
        <v>26</v>
      </c>
      <c r="C7" s="583"/>
      <c r="D7" s="108" t="s">
        <v>25</v>
      </c>
      <c r="E7" s="583" t="s">
        <v>43</v>
      </c>
      <c r="F7" s="583"/>
      <c r="G7" s="583"/>
      <c r="H7" s="583" t="s">
        <v>91</v>
      </c>
      <c r="I7" s="583"/>
      <c r="J7" s="589"/>
      <c r="K7" s="584" t="s">
        <v>80</v>
      </c>
      <c r="L7" s="585"/>
      <c r="M7" s="585"/>
      <c r="N7" s="585" t="s">
        <v>81</v>
      </c>
      <c r="O7" s="585"/>
      <c r="P7" s="588"/>
      <c r="Q7" s="345" t="s">
        <v>144</v>
      </c>
      <c r="R7" s="191"/>
      <c r="S7" s="101"/>
      <c r="U7" s="242"/>
      <c r="AA7" s="242"/>
    </row>
    <row r="8" spans="1:34" s="59" customFormat="1" ht="17" customHeight="1" thickBot="1">
      <c r="A8" s="140"/>
      <c r="B8" s="636">
        <f>DATE($D$8,1,1)</f>
        <v>45658</v>
      </c>
      <c r="C8" s="637"/>
      <c r="D8" s="349">
        <f>Start!$D$2+1</f>
        <v>2025</v>
      </c>
      <c r="E8" s="601">
        <f>($K$6)/((VLOOKUP($B$8,Datenblatt!$A$100:$G$112,7,FALSE)*0.2)-(0.2*$D$59))</f>
        <v>48</v>
      </c>
      <c r="F8" s="601"/>
      <c r="G8" s="601"/>
      <c r="H8" s="602">
        <f>IF(OR(Start!$D$10="",Start!$E$10=""),"",IF(($C$14&lt;Start!$D$10),Start!$E$10,VLOOKUP(Start!$E$10,Gehalt!$A$4:$B$22,2,FALSE)))</f>
        <v>4</v>
      </c>
      <c r="I8" s="602"/>
      <c r="J8" s="603"/>
      <c r="K8" s="597">
        <f>SUM(M13:M44)</f>
        <v>0</v>
      </c>
      <c r="L8" s="598"/>
      <c r="M8" s="598"/>
      <c r="N8" s="591">
        <f>VLOOKUP($B$8,Datenblatt!A100:F112,6,FALSE)</f>
        <v>168</v>
      </c>
      <c r="O8" s="591"/>
      <c r="P8" s="599"/>
      <c r="Q8" s="346">
        <f ca="1">IF($L$50="","",SUM($L$50:$L$59))</f>
        <v>5365.31</v>
      </c>
      <c r="R8" s="100"/>
      <c r="S8" s="101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302"/>
    </row>
    <row r="9" spans="1:34" s="60" customFormat="1" ht="4.25" customHeight="1">
      <c r="A9" s="469"/>
      <c r="B9" s="559" t="s">
        <v>116</v>
      </c>
      <c r="C9" s="560"/>
      <c r="D9" s="565" t="s">
        <v>124</v>
      </c>
      <c r="E9" s="565" t="s">
        <v>174</v>
      </c>
      <c r="F9" s="568" t="s">
        <v>79</v>
      </c>
      <c r="G9" s="569"/>
      <c r="H9" s="568" t="s">
        <v>109</v>
      </c>
      <c r="I9" s="569"/>
      <c r="J9" s="565" t="s">
        <v>117</v>
      </c>
      <c r="K9" s="556" t="s">
        <v>82</v>
      </c>
      <c r="L9" s="556" t="s">
        <v>130</v>
      </c>
      <c r="M9" s="556" t="s">
        <v>114</v>
      </c>
      <c r="N9" s="556" t="s">
        <v>79</v>
      </c>
      <c r="O9" s="556" t="s">
        <v>109</v>
      </c>
      <c r="P9" s="553" t="s">
        <v>134</v>
      </c>
      <c r="Q9" s="535" t="s">
        <v>125</v>
      </c>
      <c r="R9" s="537" t="s">
        <v>173</v>
      </c>
      <c r="S9" s="573" t="s">
        <v>165</v>
      </c>
      <c r="T9" s="233"/>
      <c r="U9" s="234"/>
      <c r="V9" s="234"/>
      <c r="W9" s="234"/>
      <c r="X9" s="234"/>
      <c r="Y9" s="234"/>
      <c r="Z9" s="233"/>
      <c r="AA9" s="234"/>
      <c r="AB9" s="234"/>
      <c r="AC9" s="234"/>
      <c r="AD9" s="234"/>
      <c r="AE9" s="234"/>
      <c r="AF9" s="234"/>
      <c r="AG9" s="234"/>
      <c r="AH9" s="301"/>
    </row>
    <row r="10" spans="1:34" ht="14.5" customHeight="1">
      <c r="B10" s="561"/>
      <c r="C10" s="562"/>
      <c r="D10" s="566"/>
      <c r="E10" s="566"/>
      <c r="F10" s="570"/>
      <c r="G10" s="571"/>
      <c r="H10" s="570"/>
      <c r="I10" s="571"/>
      <c r="J10" s="566"/>
      <c r="K10" s="557"/>
      <c r="L10" s="557"/>
      <c r="M10" s="557"/>
      <c r="N10" s="557"/>
      <c r="O10" s="557"/>
      <c r="P10" s="554"/>
      <c r="Q10" s="535"/>
      <c r="R10" s="535"/>
      <c r="S10" s="574"/>
      <c r="T10" s="233"/>
      <c r="U10" s="572" t="s">
        <v>108</v>
      </c>
      <c r="V10" s="572"/>
      <c r="W10" s="572"/>
      <c r="X10" s="572"/>
      <c r="Y10" s="572"/>
      <c r="Z10" s="249"/>
      <c r="AA10" s="572" t="s">
        <v>168</v>
      </c>
      <c r="AB10" s="572"/>
      <c r="AC10" s="572"/>
      <c r="AD10" s="572"/>
      <c r="AE10" s="572"/>
      <c r="AF10" s="552" t="s">
        <v>232</v>
      </c>
      <c r="AG10" s="552" t="s">
        <v>233</v>
      </c>
    </row>
    <row r="11" spans="1:34" ht="13" customHeight="1" thickBot="1">
      <c r="B11" s="563"/>
      <c r="C11" s="564"/>
      <c r="D11" s="567"/>
      <c r="E11" s="567"/>
      <c r="F11" s="97" t="s">
        <v>14</v>
      </c>
      <c r="G11" s="98" t="s">
        <v>15</v>
      </c>
      <c r="H11" s="97" t="s">
        <v>14</v>
      </c>
      <c r="I11" s="98" t="s">
        <v>15</v>
      </c>
      <c r="J11" s="567"/>
      <c r="K11" s="558"/>
      <c r="L11" s="558"/>
      <c r="M11" s="558"/>
      <c r="N11" s="558"/>
      <c r="O11" s="558"/>
      <c r="P11" s="555"/>
      <c r="Q11" s="536"/>
      <c r="R11" s="536"/>
      <c r="S11" s="575"/>
      <c r="T11" s="109"/>
      <c r="U11" s="245" t="s">
        <v>105</v>
      </c>
      <c r="V11" s="246" t="s">
        <v>106</v>
      </c>
      <c r="W11" s="247" t="s">
        <v>107</v>
      </c>
      <c r="X11" s="246" t="s">
        <v>176</v>
      </c>
      <c r="Y11" s="246" t="s">
        <v>175</v>
      </c>
      <c r="Z11" s="248"/>
      <c r="AA11" s="245" t="s">
        <v>105</v>
      </c>
      <c r="AB11" s="246" t="s">
        <v>106</v>
      </c>
      <c r="AC11" s="246" t="s">
        <v>176</v>
      </c>
      <c r="AD11" s="246" t="s">
        <v>175</v>
      </c>
      <c r="AE11" s="245" t="s">
        <v>229</v>
      </c>
      <c r="AF11" s="552"/>
      <c r="AG11" s="552"/>
      <c r="AH11" s="246" t="s">
        <v>262</v>
      </c>
    </row>
    <row r="12" spans="1:34" ht="0.25" customHeight="1">
      <c r="B12" s="61"/>
      <c r="C12" s="61"/>
      <c r="D12" s="62"/>
      <c r="E12" s="65"/>
      <c r="F12" s="63"/>
      <c r="G12" s="63"/>
      <c r="H12" s="63"/>
      <c r="I12" s="63"/>
      <c r="J12" s="64"/>
      <c r="K12" s="64"/>
      <c r="L12" s="65"/>
      <c r="M12" s="65"/>
      <c r="N12" s="65"/>
      <c r="O12" s="65"/>
      <c r="P12" s="65"/>
      <c r="S12" s="96"/>
      <c r="T12" s="235"/>
      <c r="U12" s="236"/>
      <c r="V12" s="237"/>
      <c r="Z12" s="236"/>
      <c r="AA12" s="236"/>
      <c r="AB12" s="236"/>
      <c r="AH12" s="303"/>
    </row>
    <row r="13" spans="1:34" ht="13" customHeight="1">
      <c r="A13" s="89" t="str">
        <f>IF(ISERROR(VLOOKUP(C13,Datenblatt!$C$84:$C$97,1,FALSE)),"","Ft")</f>
        <v/>
      </c>
      <c r="B13" s="397">
        <f t="shared" ref="B13:B44" si="0">C13</f>
        <v>45657</v>
      </c>
      <c r="C13" s="148">
        <f>C14-1</f>
        <v>45657</v>
      </c>
      <c r="D13" s="153" t="str">
        <f>IF(Dezember!D$44="","",Dezember!D$44)</f>
        <v/>
      </c>
      <c r="E13" s="150" t="str">
        <f>IF(Dezember!E$44="","",Dezember!E$44)</f>
        <v/>
      </c>
      <c r="F13" s="145"/>
      <c r="G13" s="145"/>
      <c r="H13" s="145"/>
      <c r="I13" s="145"/>
      <c r="J13" s="252"/>
      <c r="K13" s="252"/>
      <c r="L13" s="170" t="str">
        <f>IF(D13="ND",9,IF(D13="ND12,5",8.5,""))</f>
        <v/>
      </c>
      <c r="M13" s="170" t="str">
        <f>IF(D13="ND",9,IF(D13="ND12,5",8.5,""))</f>
        <v/>
      </c>
      <c r="N13" s="600" t="str">
        <f>IF(OR(D13="ND",D13="ND12,5"),"Übertrag Vormonat","")</f>
        <v/>
      </c>
      <c r="O13" s="600"/>
      <c r="P13" s="193"/>
      <c r="Q13" s="266"/>
      <c r="R13" s="146"/>
      <c r="S13" s="147"/>
      <c r="T13" s="205"/>
      <c r="U13" s="206"/>
      <c r="V13" s="207"/>
      <c r="W13" s="207"/>
      <c r="X13" s="253"/>
      <c r="Y13" s="253"/>
      <c r="Z13" s="111" t="str">
        <f t="shared" ref="Z13:Z44" si="1">IF(E13="ND",25,IF(E13="ND12,5",12.5,""))</f>
        <v/>
      </c>
      <c r="AA13" s="206"/>
      <c r="AB13" s="208"/>
      <c r="AC13" s="208"/>
      <c r="AD13" s="208"/>
      <c r="AE13" s="208"/>
      <c r="AF13" s="112"/>
      <c r="AG13" s="112"/>
      <c r="AH13" s="304"/>
    </row>
    <row r="14" spans="1:34" ht="13" customHeight="1">
      <c r="A14" s="89" t="str">
        <f>IF(ISERROR(VLOOKUP(C14,Datenblatt!$C$84:$C$97,1,FALSE)),"","Ft")</f>
        <v>Ft</v>
      </c>
      <c r="B14" s="84">
        <f t="shared" si="0"/>
        <v>45658</v>
      </c>
      <c r="C14" s="85">
        <f>DATE($D$8,MONTH(B$8),1)</f>
        <v>45658</v>
      </c>
      <c r="D14" s="67"/>
      <c r="E14" s="67"/>
      <c r="F14" s="68"/>
      <c r="G14" s="69"/>
      <c r="H14" s="68"/>
      <c r="I14" s="68"/>
      <c r="J14" s="99"/>
      <c r="K14" s="21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20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10" t="str">
        <f>IF(D14="","",IF(E13="ND",VLOOKUP(D14,Datenblatt!$A$2:$C$31,3,FALSE)-1,IF(E13="ND12,5",VLOOKUP(D14,Datenblatt!$A$2:$C$31,3,FALSE)-0.5,VLOOKUP(D14,Datenblatt!$A$2:$C$31,3,FALSE))))</f>
        <v/>
      </c>
      <c r="N14" s="211" t="str">
        <f t="shared" ref="N14:N44" si="2">IF(AND(F14="",G14=""),"",IF(OR(F14&gt;G14,AND(F14="",G14&gt;0),F14=G14),"ungültig",IF(OR(WEEKDAY(B14,2)=7,A14="Ft"),0,(G14-F14)*24)))</f>
        <v/>
      </c>
      <c r="O14" s="211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86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103" t="str">
        <f>IF(D14="","",VLOOKUP(D14,Datenblatt!$A$2:$D$31,4,FALSE))</f>
        <v/>
      </c>
      <c r="R14" s="104" t="str">
        <f>IF(E14="","",VLOOKUP(E14,Datenblatt!$E$2:$G$28,2,FALSE))</f>
        <v/>
      </c>
      <c r="S14" s="105"/>
      <c r="T14" s="111">
        <f t="shared" ref="T14:T44" si="4">IF(K14="",0,K14)</f>
        <v>0</v>
      </c>
      <c r="U14" s="114"/>
      <c r="V14" s="112"/>
      <c r="W14" s="112"/>
      <c r="X14" s="254"/>
      <c r="Y14" s="254"/>
      <c r="Z14" s="111" t="str">
        <f t="shared" si="1"/>
        <v/>
      </c>
      <c r="AA14" s="214">
        <f>IF(E13="ND",IF(ISERROR(MATCH(D14,Datenblatt!$L$2:$L$18,0)),3,2),IF(E13="ND12,5",IF(ISERROR(MATCH(D14,Datenblatt!$L$2:$L$18,0)),2.5,2),0))</f>
        <v>0</v>
      </c>
      <c r="AB14" s="214">
        <f>IF((IF(E14="ND",14-IF(D14="",0,VLOOKUP(D14,Datenblatt!$L$2:$M$30,2,FALSE)),IF(E14="ND12,5",2,0)))&lt;0,0,(IF(E14="ND",14-IF(D14="",0,VLOOKUP(D14,Datenblatt!$L$2:$M$30,2,FALSE)),IF(E14="ND12,5",2,0))))</f>
        <v>0</v>
      </c>
      <c r="AC14" s="214">
        <f>IF(OR(E14="ND",E14="ND12,5"),2,0)</f>
        <v>0</v>
      </c>
      <c r="AD14" s="214">
        <f>IF(OR(E13="ND",E13="ND12,5"),6,0)</f>
        <v>0</v>
      </c>
      <c r="AE14" s="214">
        <f>IF(AND(E13="ND",AA14&gt;=2),1,IF(AND(E13="ND12,5",AA14&gt;=2),0.5,0))</f>
        <v>0</v>
      </c>
      <c r="AF14" s="112">
        <f>IF(OR(D14="ND",D14="ND12,5"),2-X14,0)</f>
        <v>0</v>
      </c>
      <c r="AG14" s="112">
        <f>IF(OR(D13="ND",D13="ND12,5"),6-Y14,0)</f>
        <v>0</v>
      </c>
      <c r="AH14" s="112">
        <f>IF(E14="",0,VLOOKUP(E14,Datenblatt!$E$2:$G$28,3,FALSE))</f>
        <v>0</v>
      </c>
    </row>
    <row r="15" spans="1:34" ht="13" customHeight="1">
      <c r="A15" s="89" t="str">
        <f>IF(ISERROR(VLOOKUP(C15,Datenblatt!$C$84:$C$97,1,FALSE)),"","Ft")</f>
        <v/>
      </c>
      <c r="B15" s="84">
        <f t="shared" si="0"/>
        <v>45659</v>
      </c>
      <c r="C15" s="86">
        <f t="shared" ref="C15:C41" si="5">C14+1</f>
        <v>45659</v>
      </c>
      <c r="D15" s="67"/>
      <c r="E15" s="67"/>
      <c r="F15" s="68"/>
      <c r="G15" s="69"/>
      <c r="H15" s="68"/>
      <c r="I15" s="68"/>
      <c r="J15" s="99"/>
      <c r="K15" s="21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20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10" t="str">
        <f>IF(D15="","",IF(E14="ND",VLOOKUP(D15,Datenblatt!$A$2:$C$31,3,FALSE)-1,IF(E14="ND12,5",VLOOKUP(D15,Datenblatt!$A$2:$C$31,3,FALSE)-0.5,VLOOKUP(D15,Datenblatt!$A$2:$C$31,3,FALSE))))</f>
        <v/>
      </c>
      <c r="N15" s="211" t="str">
        <f t="shared" si="2"/>
        <v/>
      </c>
      <c r="O15" s="211" t="str">
        <f t="shared" si="3"/>
        <v/>
      </c>
      <c r="P15" s="186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103" t="str">
        <f>IF(D15="","",VLOOKUP(D15,Datenblatt!$A$2:$D$31,4,FALSE))</f>
        <v/>
      </c>
      <c r="R15" s="104" t="str">
        <f>IF(E15="","",VLOOKUP(E15,Datenblatt!$E$2:$G$28,2,FALSE))</f>
        <v/>
      </c>
      <c r="S15" s="105"/>
      <c r="T15" s="111">
        <f t="shared" si="4"/>
        <v>0</v>
      </c>
      <c r="U15" s="114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12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12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54">
        <f t="array" ref="X15">IF(T15=0,0,IF((AND((ROW(T15)=MATCH(TRUE,($T$1:$T$44)&gt;0,0)))),IF(W15&gt;=6,W15-6,0),IF(W15&gt;=2,2,W15)))</f>
        <v>0</v>
      </c>
      <c r="Y15" s="254">
        <f t="array" ref="Y15">IF(T14=0,0,(IF((AND((ROW(T14)=MATCH(TRUE,($T$1:$T$44)&gt;0,0)))),IF(W14&gt;=6,6,W14),IF(W14&gt;=2,W14-2,0))))</f>
        <v>0</v>
      </c>
      <c r="Z15" s="111" t="str">
        <f t="shared" si="1"/>
        <v/>
      </c>
      <c r="AA15" s="214">
        <f>IF(E14="ND",IF(ISERROR(MATCH(D15,Datenblatt!$L$2:$L$18,0)),3,2),IF(E14="ND12,5",IF(ISERROR(MATCH(D15,Datenblatt!$L$2:$L$18,0)),2.5,2),0))</f>
        <v>0</v>
      </c>
      <c r="AB15" s="214">
        <f>IF((IF(E15="ND",14-IF(D15="",0,VLOOKUP(D15,Datenblatt!$L$2:$M$30,2,FALSE)),IF(E15="ND12,5",2,0)))&lt;0,0,(IF(E15="ND",14-IF(D15="",0,VLOOKUP(D15,Datenblatt!$L$2:$M$30,2,FALSE)),IF(E15="ND12,5",2,0))))</f>
        <v>0</v>
      </c>
      <c r="AC15" s="214">
        <f t="shared" ref="AC15:AC44" si="6">IF(OR(E15="ND",E15="ND12,5"),2,0)</f>
        <v>0</v>
      </c>
      <c r="AD15" s="214">
        <f t="shared" ref="AD15:AD44" si="7">IF(OR(E14="ND",E14="ND12,5"),6,0)</f>
        <v>0</v>
      </c>
      <c r="AE15" s="214">
        <f t="shared" ref="AE15:AE44" si="8">IF(AND(E14="ND",AA15&gt;=2),1,IF(AND(E14="ND12,5",AA15&gt;=2),0.5,0))</f>
        <v>0</v>
      </c>
      <c r="AF15" s="112">
        <f t="shared" ref="AF15:AF44" si="9">IF(OR(D15="ND",D15="ND12,5"),2-X15,0)</f>
        <v>0</v>
      </c>
      <c r="AG15" s="112">
        <f t="shared" ref="AG15:AG44" si="10">IF(OR(D14="ND",D14="ND12,5"),6-Y15,0)</f>
        <v>0</v>
      </c>
      <c r="AH15" s="112">
        <f>IF(E15="",0,VLOOKUP(E15,Datenblatt!$E$2:$G$28,3,FALSE))</f>
        <v>0</v>
      </c>
    </row>
    <row r="16" spans="1:34" ht="13" customHeight="1">
      <c r="A16" s="89" t="str">
        <f>IF(ISERROR(VLOOKUP(C16,Datenblatt!$C$84:$C$97,1,FALSE)),"","Ft")</f>
        <v/>
      </c>
      <c r="B16" s="84">
        <f t="shared" si="0"/>
        <v>45660</v>
      </c>
      <c r="C16" s="86">
        <f t="shared" si="5"/>
        <v>45660</v>
      </c>
      <c r="D16" s="67"/>
      <c r="E16" s="67"/>
      <c r="F16" s="68"/>
      <c r="G16" s="69"/>
      <c r="H16" s="68"/>
      <c r="I16" s="68"/>
      <c r="J16" s="99"/>
      <c r="K16" s="21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20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10" t="str">
        <f>IF(D16="","",IF(E15="ND",VLOOKUP(D16,Datenblatt!$A$2:$C$31,3,FALSE)-1,IF(E15="ND12,5",VLOOKUP(D16,Datenblatt!$A$2:$C$31,3,FALSE)-0.5,VLOOKUP(D16,Datenblatt!$A$2:$C$31,3,FALSE))))</f>
        <v/>
      </c>
      <c r="N16" s="211" t="str">
        <f t="shared" si="2"/>
        <v/>
      </c>
      <c r="O16" s="211" t="str">
        <f t="shared" si="3"/>
        <v/>
      </c>
      <c r="P16" s="186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103" t="str">
        <f>IF(D16="","",VLOOKUP(D16,Datenblatt!$A$2:$D$31,4,FALSE))</f>
        <v/>
      </c>
      <c r="R16" s="104" t="str">
        <f>IF(E16="","",VLOOKUP(E16,Datenblatt!$E$2:$G$28,2,FALSE))</f>
        <v/>
      </c>
      <c r="S16" s="105"/>
      <c r="T16" s="111">
        <f t="shared" si="4"/>
        <v>0</v>
      </c>
      <c r="U16" s="114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12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12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54">
        <f t="array" ref="X16">IF(T16=0,0,IF((AND((ROW(T16)=MATCH(TRUE,($T$1:$T$44)&gt;0,0)))),IF(W16&gt;=6,W16-6,0),IF(W16&gt;=2,2,W16)))</f>
        <v>0</v>
      </c>
      <c r="Y16" s="254">
        <f t="array" ref="Y16">IF(T15=0,0,(IF((AND((ROW(T15)=MATCH(TRUE,($T$1:$T$44)&gt;0,0)))),IF(W15&gt;=6,6,W15),IF(W15&gt;=2,W15-2,0))))</f>
        <v>0</v>
      </c>
      <c r="Z16" s="111" t="str">
        <f t="shared" si="1"/>
        <v/>
      </c>
      <c r="AA16" s="214">
        <f>IF(E15="ND",IF(ISERROR(MATCH(D16,Datenblatt!$L$2:$L$18,0)),3,2),IF(E15="ND12,5",IF(ISERROR(MATCH(D16,Datenblatt!$L$2:$L$18,0)),2.5,2),0))</f>
        <v>0</v>
      </c>
      <c r="AB16" s="214">
        <f>IF((IF(E16="ND",14-IF(D16="",0,VLOOKUP(D16,Datenblatt!$L$2:$M$30,2,FALSE)),IF(E16="ND12,5",2,0)))&lt;0,0,(IF(E16="ND",14-IF(D16="",0,VLOOKUP(D16,Datenblatt!$L$2:$M$30,2,FALSE)),IF(E16="ND12,5",2,0))))</f>
        <v>0</v>
      </c>
      <c r="AC16" s="214">
        <f t="shared" si="6"/>
        <v>0</v>
      </c>
      <c r="AD16" s="214">
        <f t="shared" si="7"/>
        <v>0</v>
      </c>
      <c r="AE16" s="214">
        <f t="shared" si="8"/>
        <v>0</v>
      </c>
      <c r="AF16" s="112">
        <f t="shared" si="9"/>
        <v>0</v>
      </c>
      <c r="AG16" s="112">
        <f t="shared" si="10"/>
        <v>0</v>
      </c>
      <c r="AH16" s="112">
        <f>IF(E16="",0,VLOOKUP(E16,Datenblatt!$E$2:$G$28,3,FALSE))</f>
        <v>0</v>
      </c>
    </row>
    <row r="17" spans="1:34" ht="13" customHeight="1">
      <c r="A17" s="89" t="str">
        <f>IF(ISERROR(VLOOKUP(C17,Datenblatt!$C$84:$C$97,1,FALSE)),"","Ft")</f>
        <v/>
      </c>
      <c r="B17" s="84">
        <f t="shared" si="0"/>
        <v>45661</v>
      </c>
      <c r="C17" s="86">
        <f t="shared" si="5"/>
        <v>45661</v>
      </c>
      <c r="D17" s="67"/>
      <c r="E17" s="67"/>
      <c r="F17" s="68"/>
      <c r="G17" s="69"/>
      <c r="H17" s="68"/>
      <c r="I17" s="68"/>
      <c r="J17" s="99"/>
      <c r="K17" s="21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20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10" t="str">
        <f>IF(D17="","",IF(E16="ND",VLOOKUP(D17,Datenblatt!$A$2:$C$31,3,FALSE)-1,IF(E16="ND12,5",VLOOKUP(D17,Datenblatt!$A$2:$C$31,3,FALSE)-0.5,VLOOKUP(D17,Datenblatt!$A$2:$C$31,3,FALSE))))</f>
        <v/>
      </c>
      <c r="N17" s="211" t="str">
        <f t="shared" si="2"/>
        <v/>
      </c>
      <c r="O17" s="211" t="str">
        <f t="shared" si="3"/>
        <v/>
      </c>
      <c r="P17" s="186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103" t="str">
        <f>IF(D17="","",VLOOKUP(D17,Datenblatt!$A$2:$D$31,4,FALSE))</f>
        <v/>
      </c>
      <c r="R17" s="104" t="str">
        <f>IF(E17="","",VLOOKUP(E17,Datenblatt!$E$2:$G$28,2,FALSE))</f>
        <v/>
      </c>
      <c r="S17" s="105"/>
      <c r="T17" s="111">
        <f t="shared" si="4"/>
        <v>0</v>
      </c>
      <c r="U17" s="114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12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12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54">
        <f t="array" ref="X17">IF(T17=0,0,IF((AND((ROW(T17)=MATCH(TRUE,($T$1:$T$44)&gt;0,0)))),IF(W17&gt;=6,W17-6,0),IF(W17&gt;=2,2,W17)))</f>
        <v>0</v>
      </c>
      <c r="Y17" s="254">
        <f t="array" ref="Y17">IF(T16=0,0,(IF((AND((ROW(T16)=MATCH(TRUE,($T$1:$T$44)&gt;0,0)))),IF(W16&gt;=6,6,W16),IF(W16&gt;=2,W16-2,0))))</f>
        <v>0</v>
      </c>
      <c r="Z17" s="111" t="str">
        <f t="shared" si="1"/>
        <v/>
      </c>
      <c r="AA17" s="214">
        <f>IF(E16="ND",IF(ISERROR(MATCH(D17,Datenblatt!$L$2:$L$18,0)),3,2),IF(E16="ND12,5",IF(ISERROR(MATCH(D17,Datenblatt!$L$2:$L$18,0)),2.5,2),0))</f>
        <v>0</v>
      </c>
      <c r="AB17" s="214">
        <f>IF((IF(E17="ND",14-IF(D17="",0,VLOOKUP(D17,Datenblatt!$L$2:$M$30,2,FALSE)),IF(E17="ND12,5",2,0)))&lt;0,0,(IF(E17="ND",14-IF(D17="",0,VLOOKUP(D17,Datenblatt!$L$2:$M$30,2,FALSE)),IF(E17="ND12,5",2,0))))</f>
        <v>0</v>
      </c>
      <c r="AC17" s="214">
        <f t="shared" si="6"/>
        <v>0</v>
      </c>
      <c r="AD17" s="214">
        <f t="shared" si="7"/>
        <v>0</v>
      </c>
      <c r="AE17" s="214">
        <f t="shared" si="8"/>
        <v>0</v>
      </c>
      <c r="AF17" s="112">
        <f t="shared" si="9"/>
        <v>0</v>
      </c>
      <c r="AG17" s="112">
        <f t="shared" si="10"/>
        <v>0</v>
      </c>
      <c r="AH17" s="112">
        <f>IF(E17="",0,VLOOKUP(E17,Datenblatt!$E$2:$G$28,3,FALSE))</f>
        <v>0</v>
      </c>
    </row>
    <row r="18" spans="1:34" ht="13" customHeight="1">
      <c r="A18" s="89" t="str">
        <f>IF(ISERROR(VLOOKUP(C18,Datenblatt!$C$84:$C$97,1,FALSE)),"","Ft")</f>
        <v/>
      </c>
      <c r="B18" s="84">
        <f t="shared" si="0"/>
        <v>45662</v>
      </c>
      <c r="C18" s="86">
        <f t="shared" si="5"/>
        <v>45662</v>
      </c>
      <c r="D18" s="67"/>
      <c r="E18" s="67"/>
      <c r="F18" s="68"/>
      <c r="G18" s="69"/>
      <c r="H18" s="68"/>
      <c r="I18" s="68"/>
      <c r="J18" s="99"/>
      <c r="K18" s="21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20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10" t="str">
        <f>IF(D18="","",IF(E17="ND",VLOOKUP(D18,Datenblatt!$A$2:$C$31,3,FALSE)-1,IF(E17="ND12,5",VLOOKUP(D18,Datenblatt!$A$2:$C$31,3,FALSE)-0.5,VLOOKUP(D18,Datenblatt!$A$2:$C$31,3,FALSE))))</f>
        <v/>
      </c>
      <c r="N18" s="211" t="str">
        <f t="shared" si="2"/>
        <v/>
      </c>
      <c r="O18" s="211">
        <f t="shared" si="3"/>
        <v>0</v>
      </c>
      <c r="P18" s="186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103" t="str">
        <f>IF(D18="","",VLOOKUP(D18,Datenblatt!$A$2:$D$31,4,FALSE))</f>
        <v/>
      </c>
      <c r="R18" s="104" t="str">
        <f>IF(E18="","",VLOOKUP(E18,Datenblatt!$E$2:$G$28,2,FALSE))</f>
        <v/>
      </c>
      <c r="S18" s="105"/>
      <c r="T18" s="111">
        <f t="shared" si="4"/>
        <v>0</v>
      </c>
      <c r="U18" s="114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12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12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54">
        <f t="array" ref="X18">IF(T18=0,0,IF((AND((ROW(T18)=MATCH(TRUE,($T$1:$T$44)&gt;0,0)))),IF(W18&gt;=6,W18-6,0),IF(W18&gt;=2,2,W18)))</f>
        <v>0</v>
      </c>
      <c r="Y18" s="254">
        <f t="array" ref="Y18">IF(T17=0,0,(IF((AND((ROW(T17)=MATCH(TRUE,($T$1:$T$44)&gt;0,0)))),IF(W17&gt;=6,6,W17),IF(W17&gt;=2,W17-2,0))))</f>
        <v>0</v>
      </c>
      <c r="Z18" s="111" t="str">
        <f t="shared" si="1"/>
        <v/>
      </c>
      <c r="AA18" s="214">
        <f>IF(E17="ND",IF(ISERROR(MATCH(D18,Datenblatt!$L$2:$L$18,0)),3,2),IF(E17="ND12,5",IF(ISERROR(MATCH(D18,Datenblatt!$L$2:$L$18,0)),2.5,2),0))</f>
        <v>0</v>
      </c>
      <c r="AB18" s="214">
        <f>IF((IF(E18="ND",14-IF(D18="",0,VLOOKUP(D18,Datenblatt!$L$2:$M$30,2,FALSE)),IF(E18="ND12,5",2,0)))&lt;0,0,(IF(E18="ND",14-IF(D18="",0,VLOOKUP(D18,Datenblatt!$L$2:$M$30,2,FALSE)),IF(E18="ND12,5",2,0))))</f>
        <v>0</v>
      </c>
      <c r="AC18" s="214">
        <f t="shared" si="6"/>
        <v>0</v>
      </c>
      <c r="AD18" s="214">
        <f t="shared" si="7"/>
        <v>0</v>
      </c>
      <c r="AE18" s="214">
        <f t="shared" si="8"/>
        <v>0</v>
      </c>
      <c r="AF18" s="112">
        <f t="shared" si="9"/>
        <v>0</v>
      </c>
      <c r="AG18" s="112">
        <f t="shared" si="10"/>
        <v>0</v>
      </c>
      <c r="AH18" s="112">
        <f>IF(E18="",0,VLOOKUP(E18,Datenblatt!$E$2:$G$28,3,FALSE))</f>
        <v>0</v>
      </c>
    </row>
    <row r="19" spans="1:34" ht="13" customHeight="1">
      <c r="A19" s="89" t="str">
        <f>IF(ISERROR(VLOOKUP(C19,Datenblatt!$C$84:$C$97,1,FALSE)),"","Ft")</f>
        <v>Ft</v>
      </c>
      <c r="B19" s="84">
        <f t="shared" si="0"/>
        <v>45663</v>
      </c>
      <c r="C19" s="86">
        <f t="shared" si="5"/>
        <v>45663</v>
      </c>
      <c r="D19" s="67"/>
      <c r="E19" s="67"/>
      <c r="F19" s="68"/>
      <c r="G19" s="69"/>
      <c r="H19" s="68"/>
      <c r="I19" s="68"/>
      <c r="J19" s="99"/>
      <c r="K19" s="21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20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10" t="str">
        <f>IF(D19="","",IF(E18="ND",VLOOKUP(D19,Datenblatt!$A$2:$C$31,3,FALSE)-1,IF(E18="ND12,5",VLOOKUP(D19,Datenblatt!$A$2:$C$31,3,FALSE)-0.5,VLOOKUP(D19,Datenblatt!$A$2:$C$31,3,FALSE))))</f>
        <v/>
      </c>
      <c r="N19" s="211" t="str">
        <f t="shared" si="2"/>
        <v/>
      </c>
      <c r="O19" s="211">
        <f t="shared" si="3"/>
        <v>0</v>
      </c>
      <c r="P19" s="186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103" t="str">
        <f>IF(D19="","",VLOOKUP(D19,Datenblatt!$A$2:$D$31,4,FALSE))</f>
        <v/>
      </c>
      <c r="R19" s="104" t="str">
        <f>IF(E19="","",VLOOKUP(E19,Datenblatt!$E$2:$G$28,2,FALSE))</f>
        <v/>
      </c>
      <c r="S19" s="105"/>
      <c r="T19" s="111">
        <f t="shared" si="4"/>
        <v>0</v>
      </c>
      <c r="U19" s="114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12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12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54">
        <f t="array" ref="X19">IF(T19=0,0,IF((AND((ROW(T19)=MATCH(TRUE,($T$1:$T$44)&gt;0,0)))),IF(W19&gt;=6,W19-6,0),IF(W19&gt;=2,2,W19)))</f>
        <v>0</v>
      </c>
      <c r="Y19" s="254">
        <f t="array" ref="Y19">IF(T18=0,0,(IF((AND((ROW(T18)=MATCH(TRUE,($T$1:$T$44)&gt;0,0)))),IF(W18&gt;=6,6,W18),IF(W18&gt;=2,W18-2,0))))</f>
        <v>0</v>
      </c>
      <c r="Z19" s="111" t="str">
        <f t="shared" si="1"/>
        <v/>
      </c>
      <c r="AA19" s="214">
        <f>IF(E18="ND",IF(ISERROR(MATCH(D19,Datenblatt!$L$2:$L$18,0)),3,2),IF(E18="ND12,5",IF(ISERROR(MATCH(D19,Datenblatt!$L$2:$L$18,0)),2.5,2),0))</f>
        <v>0</v>
      </c>
      <c r="AB19" s="214">
        <f>IF((IF(E19="ND",14-IF(D19="",0,VLOOKUP(D19,Datenblatt!$L$2:$M$30,2,FALSE)),IF(E19="ND12,5",2,0)))&lt;0,0,(IF(E19="ND",14-IF(D19="",0,VLOOKUP(D19,Datenblatt!$L$2:$M$30,2,FALSE)),IF(E19="ND12,5",2,0))))</f>
        <v>0</v>
      </c>
      <c r="AC19" s="214">
        <f t="shared" si="6"/>
        <v>0</v>
      </c>
      <c r="AD19" s="214">
        <f t="shared" si="7"/>
        <v>0</v>
      </c>
      <c r="AE19" s="214">
        <f t="shared" si="8"/>
        <v>0</v>
      </c>
      <c r="AF19" s="112">
        <f t="shared" si="9"/>
        <v>0</v>
      </c>
      <c r="AG19" s="112">
        <f t="shared" si="10"/>
        <v>0</v>
      </c>
      <c r="AH19" s="112">
        <f>IF(E19="",0,VLOOKUP(E19,Datenblatt!$E$2:$G$28,3,FALSE))</f>
        <v>0</v>
      </c>
    </row>
    <row r="20" spans="1:34" ht="13" customHeight="1">
      <c r="A20" s="89" t="str">
        <f>IF(ISERROR(VLOOKUP(C20,Datenblatt!$C$84:$C$97,1,FALSE)),"","Ft")</f>
        <v/>
      </c>
      <c r="B20" s="84">
        <f t="shared" si="0"/>
        <v>45664</v>
      </c>
      <c r="C20" s="86">
        <f t="shared" si="5"/>
        <v>45664</v>
      </c>
      <c r="D20" s="67"/>
      <c r="E20" s="67"/>
      <c r="F20" s="68"/>
      <c r="G20" s="69"/>
      <c r="H20" s="68"/>
      <c r="I20" s="68"/>
      <c r="J20" s="99"/>
      <c r="K20" s="21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20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10" t="str">
        <f>IF(D20="","",IF(E19="ND",VLOOKUP(D20,Datenblatt!$A$2:$C$31,3,FALSE)-1,IF(E19="ND12,5",VLOOKUP(D20,Datenblatt!$A$2:$C$31,3,FALSE)-0.5,VLOOKUP(D20,Datenblatt!$A$2:$C$31,3,FALSE))))</f>
        <v/>
      </c>
      <c r="N20" s="211" t="str">
        <f t="shared" si="2"/>
        <v/>
      </c>
      <c r="O20" s="211" t="str">
        <f t="shared" si="3"/>
        <v/>
      </c>
      <c r="P20" s="186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103" t="str">
        <f>IF(D20="","",VLOOKUP(D20,Datenblatt!$A$2:$D$31,4,FALSE))</f>
        <v/>
      </c>
      <c r="R20" s="104" t="str">
        <f>IF(E20="","",VLOOKUP(E20,Datenblatt!$E$2:$G$28,2,FALSE))</f>
        <v/>
      </c>
      <c r="S20" s="105"/>
      <c r="T20" s="111">
        <f t="shared" si="4"/>
        <v>0</v>
      </c>
      <c r="U20" s="114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12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12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54">
        <f t="array" ref="X20">IF(T20=0,0,IF((AND((ROW(T20)=MATCH(TRUE,($T$1:$T$44)&gt;0,0)))),IF(W20&gt;=6,W20-6,0),IF(W20&gt;=2,2,W20)))</f>
        <v>0</v>
      </c>
      <c r="Y20" s="254">
        <f t="array" ref="Y20">IF(T19=0,0,(IF((AND((ROW(T19)=MATCH(TRUE,($T$1:$T$44)&gt;0,0)))),IF(W19&gt;=6,6,W19),IF(W19&gt;=2,W19-2,0))))</f>
        <v>0</v>
      </c>
      <c r="Z20" s="111" t="str">
        <f t="shared" si="1"/>
        <v/>
      </c>
      <c r="AA20" s="214">
        <f>IF(E19="ND",IF(ISERROR(MATCH(D20,Datenblatt!$L$2:$L$18,0)),3,2),IF(E19="ND12,5",IF(ISERROR(MATCH(D20,Datenblatt!$L$2:$L$18,0)),2.5,2),0))</f>
        <v>0</v>
      </c>
      <c r="AB20" s="214">
        <f>IF((IF(E20="ND",14-IF(D20="",0,VLOOKUP(D20,Datenblatt!$L$2:$M$30,2,FALSE)),IF(E20="ND12,5",2,0)))&lt;0,0,(IF(E20="ND",14-IF(D20="",0,VLOOKUP(D20,Datenblatt!$L$2:$M$30,2,FALSE)),IF(E20="ND12,5",2,0))))</f>
        <v>0</v>
      </c>
      <c r="AC20" s="214">
        <f t="shared" si="6"/>
        <v>0</v>
      </c>
      <c r="AD20" s="214">
        <f t="shared" si="7"/>
        <v>0</v>
      </c>
      <c r="AE20" s="214">
        <f t="shared" si="8"/>
        <v>0</v>
      </c>
      <c r="AF20" s="112">
        <f t="shared" si="9"/>
        <v>0</v>
      </c>
      <c r="AG20" s="112">
        <f t="shared" si="10"/>
        <v>0</v>
      </c>
      <c r="AH20" s="112">
        <f>IF(E20="",0,VLOOKUP(E20,Datenblatt!$E$2:$G$28,3,FALSE))</f>
        <v>0</v>
      </c>
    </row>
    <row r="21" spans="1:34" ht="13" customHeight="1">
      <c r="A21" s="89" t="str">
        <f>IF(ISERROR(VLOOKUP(C21,Datenblatt!$C$84:$C$97,1,FALSE)),"","Ft")</f>
        <v/>
      </c>
      <c r="B21" s="84">
        <f t="shared" si="0"/>
        <v>45665</v>
      </c>
      <c r="C21" s="86">
        <f t="shared" si="5"/>
        <v>45665</v>
      </c>
      <c r="D21" s="67"/>
      <c r="E21" s="67"/>
      <c r="F21" s="68"/>
      <c r="G21" s="69"/>
      <c r="H21" s="68"/>
      <c r="I21" s="68"/>
      <c r="J21" s="99"/>
      <c r="K21" s="21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20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10" t="str">
        <f>IF(D21="","",IF(E20="ND",VLOOKUP(D21,Datenblatt!$A$2:$C$31,3,FALSE)-1,IF(E20="ND12,5",VLOOKUP(D21,Datenblatt!$A$2:$C$31,3,FALSE)-0.5,VLOOKUP(D21,Datenblatt!$A$2:$C$31,3,FALSE))))</f>
        <v/>
      </c>
      <c r="N21" s="211" t="str">
        <f t="shared" si="2"/>
        <v/>
      </c>
      <c r="O21" s="211" t="str">
        <f t="shared" si="3"/>
        <v/>
      </c>
      <c r="P21" s="186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103" t="str">
        <f>IF(D21="","",VLOOKUP(D21,Datenblatt!$A$2:$D$31,4,FALSE))</f>
        <v/>
      </c>
      <c r="R21" s="104" t="str">
        <f>IF(E21="","",VLOOKUP(E21,Datenblatt!$E$2:$G$28,2,FALSE))</f>
        <v/>
      </c>
      <c r="S21" s="105"/>
      <c r="T21" s="111">
        <f t="shared" si="4"/>
        <v>0</v>
      </c>
      <c r="U21" s="114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12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12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54">
        <f t="array" ref="X21">IF(T21=0,0,IF((AND((ROW(T21)=MATCH(TRUE,($T$1:$T$44)&gt;0,0)))),IF(W21&gt;=6,W21-6,0),IF(W21&gt;=2,2,W21)))</f>
        <v>0</v>
      </c>
      <c r="Y21" s="254">
        <f t="array" ref="Y21">IF(T20=0,0,(IF((AND((ROW(T20)=MATCH(TRUE,($T$1:$T$44)&gt;0,0)))),IF(W20&gt;=6,6,W20),IF(W20&gt;=2,W20-2,0))))</f>
        <v>0</v>
      </c>
      <c r="Z21" s="111" t="str">
        <f t="shared" si="1"/>
        <v/>
      </c>
      <c r="AA21" s="214">
        <f>IF(E20="ND",IF(ISERROR(MATCH(D21,Datenblatt!$L$2:$L$18,0)),3,2),IF(E20="ND12,5",IF(ISERROR(MATCH(D21,Datenblatt!$L$2:$L$18,0)),2.5,2),0))</f>
        <v>0</v>
      </c>
      <c r="AB21" s="214">
        <f>IF((IF(E21="ND",14-IF(D21="",0,VLOOKUP(D21,Datenblatt!$L$2:$M$30,2,FALSE)),IF(E21="ND12,5",2,0)))&lt;0,0,(IF(E21="ND",14-IF(D21="",0,VLOOKUP(D21,Datenblatt!$L$2:$M$30,2,FALSE)),IF(E21="ND12,5",2,0))))</f>
        <v>0</v>
      </c>
      <c r="AC21" s="214">
        <f t="shared" si="6"/>
        <v>0</v>
      </c>
      <c r="AD21" s="214">
        <f t="shared" si="7"/>
        <v>0</v>
      </c>
      <c r="AE21" s="214">
        <f t="shared" si="8"/>
        <v>0</v>
      </c>
      <c r="AF21" s="112">
        <f t="shared" si="9"/>
        <v>0</v>
      </c>
      <c r="AG21" s="112">
        <f t="shared" si="10"/>
        <v>0</v>
      </c>
      <c r="AH21" s="112">
        <f>IF(E21="",0,VLOOKUP(E21,Datenblatt!$E$2:$G$28,3,FALSE))</f>
        <v>0</v>
      </c>
    </row>
    <row r="22" spans="1:34" ht="13" customHeight="1">
      <c r="A22" s="89" t="str">
        <f>IF(ISERROR(VLOOKUP(C22,Datenblatt!$C$84:$C$97,1,FALSE)),"","Ft")</f>
        <v/>
      </c>
      <c r="B22" s="84">
        <f t="shared" si="0"/>
        <v>45666</v>
      </c>
      <c r="C22" s="86">
        <f t="shared" si="5"/>
        <v>45666</v>
      </c>
      <c r="D22" s="67"/>
      <c r="E22" s="67"/>
      <c r="F22" s="68"/>
      <c r="G22" s="69"/>
      <c r="H22" s="68"/>
      <c r="I22" s="68"/>
      <c r="J22" s="99"/>
      <c r="K22" s="21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20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10" t="str">
        <f>IF(D22="","",IF(E21="ND",VLOOKUP(D22,Datenblatt!$A$2:$C$31,3,FALSE)-1,IF(E21="ND12,5",VLOOKUP(D22,Datenblatt!$A$2:$C$31,3,FALSE)-0.5,VLOOKUP(D22,Datenblatt!$A$2:$C$31,3,FALSE))))</f>
        <v/>
      </c>
      <c r="N22" s="211" t="str">
        <f t="shared" si="2"/>
        <v/>
      </c>
      <c r="O22" s="211" t="str">
        <f t="shared" si="3"/>
        <v/>
      </c>
      <c r="P22" s="186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103" t="str">
        <f>IF(D22="","",VLOOKUP(D22,Datenblatt!$A$2:$D$31,4,FALSE))</f>
        <v/>
      </c>
      <c r="R22" s="104" t="str">
        <f>IF(E22="","",VLOOKUP(E22,Datenblatt!$E$2:$G$28,2,FALSE))</f>
        <v/>
      </c>
      <c r="S22" s="105"/>
      <c r="T22" s="111">
        <f t="shared" si="4"/>
        <v>0</v>
      </c>
      <c r="U22" s="114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12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12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54">
        <f t="array" ref="X22">IF(T22=0,0,IF((AND((ROW(T22)=MATCH(TRUE,($T$1:$T$44)&gt;0,0)))),IF(W22&gt;=6,W22-6,0),IF(W22&gt;=2,2,W22)))</f>
        <v>0</v>
      </c>
      <c r="Y22" s="254">
        <f t="array" ref="Y22">IF(T21=0,0,(IF((AND((ROW(T21)=MATCH(TRUE,($T$1:$T$44)&gt;0,0)))),IF(W21&gt;=6,6,W21),IF(W21&gt;=2,W21-2,0))))</f>
        <v>0</v>
      </c>
      <c r="Z22" s="111" t="str">
        <f t="shared" si="1"/>
        <v/>
      </c>
      <c r="AA22" s="214">
        <f>IF(E21="ND",IF(ISERROR(MATCH(D22,Datenblatt!$L$2:$L$18,0)),3,2),IF(E21="ND12,5",IF(ISERROR(MATCH(D22,Datenblatt!$L$2:$L$18,0)),2.5,2),0))</f>
        <v>0</v>
      </c>
      <c r="AB22" s="214">
        <f>IF((IF(E22="ND",14-IF(D22="",0,VLOOKUP(D22,Datenblatt!$L$2:$M$30,2,FALSE)),IF(E22="ND12,5",2,0)))&lt;0,0,(IF(E22="ND",14-IF(D22="",0,VLOOKUP(D22,Datenblatt!$L$2:$M$30,2,FALSE)),IF(E22="ND12,5",2,0))))</f>
        <v>0</v>
      </c>
      <c r="AC22" s="214">
        <f t="shared" si="6"/>
        <v>0</v>
      </c>
      <c r="AD22" s="214">
        <f t="shared" si="7"/>
        <v>0</v>
      </c>
      <c r="AE22" s="214">
        <f t="shared" si="8"/>
        <v>0</v>
      </c>
      <c r="AF22" s="112">
        <f t="shared" si="9"/>
        <v>0</v>
      </c>
      <c r="AG22" s="112">
        <f t="shared" si="10"/>
        <v>0</v>
      </c>
      <c r="AH22" s="112">
        <f>IF(E22="",0,VLOOKUP(E22,Datenblatt!$E$2:$G$28,3,FALSE))</f>
        <v>0</v>
      </c>
    </row>
    <row r="23" spans="1:34" ht="13" customHeight="1">
      <c r="A23" s="89" t="str">
        <f>IF(ISERROR(VLOOKUP(C23,Datenblatt!$C$84:$C$97,1,FALSE)),"","Ft")</f>
        <v/>
      </c>
      <c r="B23" s="84">
        <f t="shared" si="0"/>
        <v>45667</v>
      </c>
      <c r="C23" s="86">
        <f t="shared" si="5"/>
        <v>45667</v>
      </c>
      <c r="D23" s="67"/>
      <c r="E23" s="67"/>
      <c r="F23" s="68"/>
      <c r="G23" s="69"/>
      <c r="H23" s="68"/>
      <c r="I23" s="68"/>
      <c r="J23" s="99"/>
      <c r="K23" s="21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20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10" t="str">
        <f>IF(D23="","",IF(E22="ND",VLOOKUP(D23,Datenblatt!$A$2:$C$31,3,FALSE)-1,IF(E22="ND12,5",VLOOKUP(D23,Datenblatt!$A$2:$C$31,3,FALSE)-0.5,VLOOKUP(D23,Datenblatt!$A$2:$C$31,3,FALSE))))</f>
        <v/>
      </c>
      <c r="N23" s="211" t="str">
        <f t="shared" si="2"/>
        <v/>
      </c>
      <c r="O23" s="211" t="str">
        <f t="shared" si="3"/>
        <v/>
      </c>
      <c r="P23" s="186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103" t="str">
        <f>IF(D23="","",VLOOKUP(D23,Datenblatt!$A$2:$D$31,4,FALSE))</f>
        <v/>
      </c>
      <c r="R23" s="104" t="str">
        <f>IF(E23="","",VLOOKUP(E23,Datenblatt!$E$2:$G$28,2,FALSE))</f>
        <v/>
      </c>
      <c r="S23" s="105"/>
      <c r="T23" s="111">
        <f t="shared" si="4"/>
        <v>0</v>
      </c>
      <c r="U23" s="114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12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12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54">
        <f t="array" ref="X23">IF(T23=0,0,IF((AND((ROW(T23)=MATCH(TRUE,($T$1:$T$44)&gt;0,0)))),IF(W23&gt;=6,W23-6,0),IF(W23&gt;=2,2,W23)))</f>
        <v>0</v>
      </c>
      <c r="Y23" s="254">
        <f t="array" ref="Y23">IF(T22=0,0,(IF((AND((ROW(T22)=MATCH(TRUE,($T$1:$T$44)&gt;0,0)))),IF(W22&gt;=6,6,W22),IF(W22&gt;=2,W22-2,0))))</f>
        <v>0</v>
      </c>
      <c r="Z23" s="111" t="str">
        <f t="shared" si="1"/>
        <v/>
      </c>
      <c r="AA23" s="214">
        <f>IF(E22="ND",IF(ISERROR(MATCH(D23,Datenblatt!$L$2:$L$18,0)),3,2),IF(E22="ND12,5",IF(ISERROR(MATCH(D23,Datenblatt!$L$2:$L$18,0)),2.5,2),0))</f>
        <v>0</v>
      </c>
      <c r="AB23" s="214">
        <f>IF((IF(E23="ND",14-IF(D23="",0,VLOOKUP(D23,Datenblatt!$L$2:$M$30,2,FALSE)),IF(E23="ND12,5",2,0)))&lt;0,0,(IF(E23="ND",14-IF(D23="",0,VLOOKUP(D23,Datenblatt!$L$2:$M$30,2,FALSE)),IF(E23="ND12,5",2,0))))</f>
        <v>0</v>
      </c>
      <c r="AC23" s="214">
        <f t="shared" si="6"/>
        <v>0</v>
      </c>
      <c r="AD23" s="214">
        <f t="shared" si="7"/>
        <v>0</v>
      </c>
      <c r="AE23" s="214">
        <f t="shared" si="8"/>
        <v>0</v>
      </c>
      <c r="AF23" s="112">
        <f t="shared" si="9"/>
        <v>0</v>
      </c>
      <c r="AG23" s="112">
        <f t="shared" si="10"/>
        <v>0</v>
      </c>
      <c r="AH23" s="112">
        <f>IF(E23="",0,VLOOKUP(E23,Datenblatt!$E$2:$G$28,3,FALSE))</f>
        <v>0</v>
      </c>
    </row>
    <row r="24" spans="1:34" ht="13" customHeight="1">
      <c r="A24" s="89" t="str">
        <f>IF(ISERROR(VLOOKUP(C24,Datenblatt!$C$84:$C$97,1,FALSE)),"","Ft")</f>
        <v/>
      </c>
      <c r="B24" s="84">
        <f t="shared" si="0"/>
        <v>45668</v>
      </c>
      <c r="C24" s="86">
        <f t="shared" si="5"/>
        <v>45668</v>
      </c>
      <c r="D24" s="67"/>
      <c r="E24" s="67"/>
      <c r="F24" s="68"/>
      <c r="G24" s="69"/>
      <c r="H24" s="68"/>
      <c r="I24" s="68"/>
      <c r="J24" s="99"/>
      <c r="K24" s="21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20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10" t="str">
        <f>IF(D24="","",IF(E23="ND",VLOOKUP(D24,Datenblatt!$A$2:$C$31,3,FALSE)-1,IF(E23="ND12,5",VLOOKUP(D24,Datenblatt!$A$2:$C$31,3,FALSE)-0.5,VLOOKUP(D24,Datenblatt!$A$2:$C$31,3,FALSE))))</f>
        <v/>
      </c>
      <c r="N24" s="211" t="str">
        <f t="shared" si="2"/>
        <v/>
      </c>
      <c r="O24" s="211" t="str">
        <f t="shared" si="3"/>
        <v/>
      </c>
      <c r="P24" s="186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103" t="str">
        <f>IF(D24="","",VLOOKUP(D24,Datenblatt!$A$2:$D$31,4,FALSE))</f>
        <v/>
      </c>
      <c r="R24" s="104" t="str">
        <f>IF(E24="","",VLOOKUP(E24,Datenblatt!$E$2:$G$28,2,FALSE))</f>
        <v/>
      </c>
      <c r="S24" s="105"/>
      <c r="T24" s="111">
        <f t="shared" si="4"/>
        <v>0</v>
      </c>
      <c r="U24" s="114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12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12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54">
        <f t="array" ref="X24">IF(T24=0,0,IF((AND((ROW(T24)=MATCH(TRUE,($T$1:$T$44)&gt;0,0)))),IF(W24&gt;=6,W24-6,0),IF(W24&gt;=2,2,W24)))</f>
        <v>0</v>
      </c>
      <c r="Y24" s="254">
        <f t="array" ref="Y24">IF(T23=0,0,(IF((AND((ROW(T23)=MATCH(TRUE,($T$1:$T$44)&gt;0,0)))),IF(W23&gt;=6,6,W23),IF(W23&gt;=2,W23-2,0))))</f>
        <v>0</v>
      </c>
      <c r="Z24" s="111" t="str">
        <f t="shared" si="1"/>
        <v/>
      </c>
      <c r="AA24" s="214">
        <f>IF(E23="ND",IF(ISERROR(MATCH(D24,Datenblatt!$L$2:$L$18,0)),3,2),IF(E23="ND12,5",IF(ISERROR(MATCH(D24,Datenblatt!$L$2:$L$18,0)),2.5,2),0))</f>
        <v>0</v>
      </c>
      <c r="AB24" s="214">
        <f>IF((IF(E24="ND",14-IF(D24="",0,VLOOKUP(D24,Datenblatt!$L$2:$M$30,2,FALSE)),IF(E24="ND12,5",2,0)))&lt;0,0,(IF(E24="ND",14-IF(D24="",0,VLOOKUP(D24,Datenblatt!$L$2:$M$30,2,FALSE)),IF(E24="ND12,5",2,0))))</f>
        <v>0</v>
      </c>
      <c r="AC24" s="214">
        <f t="shared" si="6"/>
        <v>0</v>
      </c>
      <c r="AD24" s="214">
        <f t="shared" si="7"/>
        <v>0</v>
      </c>
      <c r="AE24" s="214">
        <f t="shared" si="8"/>
        <v>0</v>
      </c>
      <c r="AF24" s="112">
        <f t="shared" si="9"/>
        <v>0</v>
      </c>
      <c r="AG24" s="112">
        <f t="shared" si="10"/>
        <v>0</v>
      </c>
      <c r="AH24" s="112">
        <f>IF(E24="",0,VLOOKUP(E24,Datenblatt!$E$2:$G$28,3,FALSE))</f>
        <v>0</v>
      </c>
    </row>
    <row r="25" spans="1:34" ht="13" customHeight="1">
      <c r="A25" s="89" t="str">
        <f>IF(ISERROR(VLOOKUP(C25,Datenblatt!$C$84:$C$97,1,FALSE)),"","Ft")</f>
        <v/>
      </c>
      <c r="B25" s="84">
        <f t="shared" si="0"/>
        <v>45669</v>
      </c>
      <c r="C25" s="86">
        <f t="shared" si="5"/>
        <v>45669</v>
      </c>
      <c r="D25" s="67"/>
      <c r="E25" s="67"/>
      <c r="F25" s="68"/>
      <c r="G25" s="69"/>
      <c r="H25" s="68"/>
      <c r="I25" s="68"/>
      <c r="J25" s="99"/>
      <c r="K25" s="21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20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10" t="str">
        <f>IF(D25="","",IF(E24="ND",VLOOKUP(D25,Datenblatt!$A$2:$C$31,3,FALSE)-1,IF(E24="ND12,5",VLOOKUP(D25,Datenblatt!$A$2:$C$31,3,FALSE)-0.5,VLOOKUP(D25,Datenblatt!$A$2:$C$31,3,FALSE))))</f>
        <v/>
      </c>
      <c r="N25" s="211" t="str">
        <f t="shared" si="2"/>
        <v/>
      </c>
      <c r="O25" s="211">
        <f t="shared" si="3"/>
        <v>0</v>
      </c>
      <c r="P25" s="186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103" t="str">
        <f>IF(D25="","",VLOOKUP(D25,Datenblatt!$A$2:$D$31,4,FALSE))</f>
        <v/>
      </c>
      <c r="R25" s="104" t="str">
        <f>IF(E25="","",VLOOKUP(E25,Datenblatt!$E$2:$G$28,2,FALSE))</f>
        <v/>
      </c>
      <c r="S25" s="105"/>
      <c r="T25" s="111">
        <f t="shared" si="4"/>
        <v>0</v>
      </c>
      <c r="U25" s="114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12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12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54">
        <f t="array" ref="X25">IF(T25=0,0,IF((AND((ROW(T25)=MATCH(TRUE,($T$1:$T$44)&gt;0,0)))),IF(W25&gt;=6,W25-6,0),IF(W25&gt;=2,2,W25)))</f>
        <v>0</v>
      </c>
      <c r="Y25" s="254">
        <f t="array" ref="Y25">IF(T24=0,0,(IF((AND((ROW(T24)=MATCH(TRUE,($T$1:$T$44)&gt;0,0)))),IF(W24&gt;=6,6,W24),IF(W24&gt;=2,W24-2,0))))</f>
        <v>0</v>
      </c>
      <c r="Z25" s="111" t="str">
        <f t="shared" si="1"/>
        <v/>
      </c>
      <c r="AA25" s="214">
        <f>IF(E24="ND",IF(ISERROR(MATCH(D25,Datenblatt!$L$2:$L$18,0)),3,2),IF(E24="ND12,5",IF(ISERROR(MATCH(D25,Datenblatt!$L$2:$L$18,0)),2.5,2),0))</f>
        <v>0</v>
      </c>
      <c r="AB25" s="214">
        <f>IF((IF(E25="ND",14-IF(D25="",0,VLOOKUP(D25,Datenblatt!$L$2:$M$30,2,FALSE)),IF(E25="ND12,5",2,0)))&lt;0,0,(IF(E25="ND",14-IF(D25="",0,VLOOKUP(D25,Datenblatt!$L$2:$M$30,2,FALSE)),IF(E25="ND12,5",2,0))))</f>
        <v>0</v>
      </c>
      <c r="AC25" s="214">
        <f t="shared" si="6"/>
        <v>0</v>
      </c>
      <c r="AD25" s="214">
        <f t="shared" si="7"/>
        <v>0</v>
      </c>
      <c r="AE25" s="214">
        <f t="shared" si="8"/>
        <v>0</v>
      </c>
      <c r="AF25" s="112">
        <f t="shared" si="9"/>
        <v>0</v>
      </c>
      <c r="AG25" s="112">
        <f t="shared" si="10"/>
        <v>0</v>
      </c>
      <c r="AH25" s="112">
        <f>IF(E25="",0,VLOOKUP(E25,Datenblatt!$E$2:$G$28,3,FALSE))</f>
        <v>0</v>
      </c>
    </row>
    <row r="26" spans="1:34" ht="13" customHeight="1">
      <c r="A26" s="89" t="str">
        <f>IF(ISERROR(VLOOKUP(C26,Datenblatt!$C$84:$C$97,1,FALSE)),"","Ft")</f>
        <v/>
      </c>
      <c r="B26" s="84">
        <f t="shared" si="0"/>
        <v>45670</v>
      </c>
      <c r="C26" s="86">
        <f t="shared" si="5"/>
        <v>45670</v>
      </c>
      <c r="D26" s="67"/>
      <c r="E26" s="67"/>
      <c r="F26" s="68"/>
      <c r="G26" s="69"/>
      <c r="H26" s="68"/>
      <c r="I26" s="68"/>
      <c r="J26" s="99"/>
      <c r="K26" s="21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20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10" t="str">
        <f>IF(D26="","",IF(E25="ND",VLOOKUP(D26,Datenblatt!$A$2:$C$31,3,FALSE)-1,IF(E25="ND12,5",VLOOKUP(D26,Datenblatt!$A$2:$C$31,3,FALSE)-0.5,VLOOKUP(D26,Datenblatt!$A$2:$C$31,3,FALSE))))</f>
        <v/>
      </c>
      <c r="N26" s="211" t="str">
        <f t="shared" si="2"/>
        <v/>
      </c>
      <c r="O26" s="211" t="str">
        <f t="shared" si="3"/>
        <v/>
      </c>
      <c r="P26" s="186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103" t="str">
        <f>IF(D26="","",VLOOKUP(D26,Datenblatt!$A$2:$D$31,4,FALSE))</f>
        <v/>
      </c>
      <c r="R26" s="104" t="str">
        <f>IF(E26="","",VLOOKUP(E26,Datenblatt!$E$2:$G$28,2,FALSE))</f>
        <v/>
      </c>
      <c r="S26" s="105"/>
      <c r="T26" s="111">
        <f t="shared" si="4"/>
        <v>0</v>
      </c>
      <c r="U26" s="114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12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12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54">
        <f t="array" ref="X26">IF(T26=0,0,IF((AND((ROW(T26)=MATCH(TRUE,($T$1:$T$44)&gt;0,0)))),IF(W26&gt;=6,W26-6,0),IF(W26&gt;=2,2,W26)))</f>
        <v>0</v>
      </c>
      <c r="Y26" s="254">
        <f t="array" ref="Y26">IF(T25=0,0,(IF((AND((ROW(T25)=MATCH(TRUE,($T$1:$T$44)&gt;0,0)))),IF(W25&gt;=6,6,W25),IF(W25&gt;=2,W25-2,0))))</f>
        <v>0</v>
      </c>
      <c r="Z26" s="111" t="str">
        <f t="shared" si="1"/>
        <v/>
      </c>
      <c r="AA26" s="214">
        <f>IF(E25="ND",IF(ISERROR(MATCH(D26,Datenblatt!$L$2:$L$18,0)),3,2),IF(E25="ND12,5",IF(ISERROR(MATCH(D26,Datenblatt!$L$2:$L$18,0)),2.5,2),0))</f>
        <v>0</v>
      </c>
      <c r="AB26" s="214">
        <f>IF((IF(E26="ND",14-IF(D26="",0,VLOOKUP(D26,Datenblatt!$L$2:$M$30,2,FALSE)),IF(E26="ND12,5",2,0)))&lt;0,0,(IF(E26="ND",14-IF(D26="",0,VLOOKUP(D26,Datenblatt!$L$2:$M$30,2,FALSE)),IF(E26="ND12,5",2,0))))</f>
        <v>0</v>
      </c>
      <c r="AC26" s="214">
        <f t="shared" si="6"/>
        <v>0</v>
      </c>
      <c r="AD26" s="214">
        <f t="shared" si="7"/>
        <v>0</v>
      </c>
      <c r="AE26" s="214">
        <f t="shared" si="8"/>
        <v>0</v>
      </c>
      <c r="AF26" s="112">
        <f t="shared" si="9"/>
        <v>0</v>
      </c>
      <c r="AG26" s="112">
        <f t="shared" si="10"/>
        <v>0</v>
      </c>
      <c r="AH26" s="112">
        <f>IF(E26="",0,VLOOKUP(E26,Datenblatt!$E$2:$G$28,3,FALSE))</f>
        <v>0</v>
      </c>
    </row>
    <row r="27" spans="1:34" ht="13" customHeight="1">
      <c r="A27" s="89" t="str">
        <f>IF(ISERROR(VLOOKUP(C27,Datenblatt!$C$84:$C$97,1,FALSE)),"","Ft")</f>
        <v/>
      </c>
      <c r="B27" s="84">
        <f t="shared" si="0"/>
        <v>45671</v>
      </c>
      <c r="C27" s="86">
        <f t="shared" si="5"/>
        <v>45671</v>
      </c>
      <c r="D27" s="67"/>
      <c r="E27" s="67"/>
      <c r="F27" s="68"/>
      <c r="G27" s="69"/>
      <c r="H27" s="68"/>
      <c r="I27" s="68"/>
      <c r="J27" s="99"/>
      <c r="K27" s="21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20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10" t="str">
        <f>IF(D27="","",IF(E26="ND",VLOOKUP(D27,Datenblatt!$A$2:$C$31,3,FALSE)-1,IF(E26="ND12,5",VLOOKUP(D27,Datenblatt!$A$2:$C$31,3,FALSE)-0.5,VLOOKUP(D27,Datenblatt!$A$2:$C$31,3,FALSE))))</f>
        <v/>
      </c>
      <c r="N27" s="211" t="str">
        <f t="shared" si="2"/>
        <v/>
      </c>
      <c r="O27" s="211" t="str">
        <f t="shared" si="3"/>
        <v/>
      </c>
      <c r="P27" s="186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103" t="str">
        <f>IF(D27="","",VLOOKUP(D27,Datenblatt!$A$2:$D$31,4,FALSE))</f>
        <v/>
      </c>
      <c r="R27" s="104" t="str">
        <f>IF(E27="","",VLOOKUP(E27,Datenblatt!$E$2:$G$28,2,FALSE))</f>
        <v/>
      </c>
      <c r="S27" s="105"/>
      <c r="T27" s="111">
        <f t="shared" si="4"/>
        <v>0</v>
      </c>
      <c r="U27" s="114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12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12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54">
        <f t="array" ref="X27">IF(T27=0,0,IF((AND((ROW(T27)=MATCH(TRUE,($T$1:$T$44)&gt;0,0)))),IF(W27&gt;=6,W27-6,0),IF(W27&gt;=2,2,W27)))</f>
        <v>0</v>
      </c>
      <c r="Y27" s="254">
        <f t="array" ref="Y27">IF(T26=0,0,(IF((AND((ROW(T26)=MATCH(TRUE,($T$1:$T$44)&gt;0,0)))),IF(W26&gt;=6,6,W26),IF(W26&gt;=2,W26-2,0))))</f>
        <v>0</v>
      </c>
      <c r="Z27" s="111" t="str">
        <f t="shared" si="1"/>
        <v/>
      </c>
      <c r="AA27" s="214">
        <f>IF(E26="ND",IF(ISERROR(MATCH(D27,Datenblatt!$L$2:$L$18,0)),3,2),IF(E26="ND12,5",IF(ISERROR(MATCH(D27,Datenblatt!$L$2:$L$18,0)),2.5,2),0))</f>
        <v>0</v>
      </c>
      <c r="AB27" s="214">
        <f>IF((IF(E27="ND",14-IF(D27="",0,VLOOKUP(D27,Datenblatt!$L$2:$M$30,2,FALSE)),IF(E27="ND12,5",2,0)))&lt;0,0,(IF(E27="ND",14-IF(D27="",0,VLOOKUP(D27,Datenblatt!$L$2:$M$30,2,FALSE)),IF(E27="ND12,5",2,0))))</f>
        <v>0</v>
      </c>
      <c r="AC27" s="214">
        <f t="shared" si="6"/>
        <v>0</v>
      </c>
      <c r="AD27" s="214">
        <f t="shared" si="7"/>
        <v>0</v>
      </c>
      <c r="AE27" s="214">
        <f t="shared" si="8"/>
        <v>0</v>
      </c>
      <c r="AF27" s="112">
        <f t="shared" si="9"/>
        <v>0</v>
      </c>
      <c r="AG27" s="112">
        <f t="shared" si="10"/>
        <v>0</v>
      </c>
      <c r="AH27" s="112">
        <f>IF(E27="",0,VLOOKUP(E27,Datenblatt!$E$2:$G$28,3,FALSE))</f>
        <v>0</v>
      </c>
    </row>
    <row r="28" spans="1:34" ht="13" customHeight="1">
      <c r="A28" s="89" t="str">
        <f>IF(ISERROR(VLOOKUP(C28,Datenblatt!$C$84:$C$97,1,FALSE)),"","Ft")</f>
        <v/>
      </c>
      <c r="B28" s="84">
        <f t="shared" si="0"/>
        <v>45672</v>
      </c>
      <c r="C28" s="86">
        <f t="shared" si="5"/>
        <v>45672</v>
      </c>
      <c r="D28" s="67"/>
      <c r="E28" s="67"/>
      <c r="F28" s="68"/>
      <c r="G28" s="69"/>
      <c r="H28" s="68"/>
      <c r="I28" s="68"/>
      <c r="J28" s="99"/>
      <c r="K28" s="21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20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10" t="str">
        <f>IF(D28="","",IF(E27="ND",VLOOKUP(D28,Datenblatt!$A$2:$C$31,3,FALSE)-1,IF(E27="ND12,5",VLOOKUP(D28,Datenblatt!$A$2:$C$31,3,FALSE)-0.5,VLOOKUP(D28,Datenblatt!$A$2:$C$31,3,FALSE))))</f>
        <v/>
      </c>
      <c r="N28" s="211" t="str">
        <f t="shared" si="2"/>
        <v/>
      </c>
      <c r="O28" s="211" t="str">
        <f t="shared" si="3"/>
        <v/>
      </c>
      <c r="P28" s="186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103" t="str">
        <f>IF(D28="","",VLOOKUP(D28,Datenblatt!$A$2:$D$31,4,FALSE))</f>
        <v/>
      </c>
      <c r="R28" s="104" t="str">
        <f>IF(E28="","",VLOOKUP(E28,Datenblatt!$E$2:$G$28,2,FALSE))</f>
        <v/>
      </c>
      <c r="S28" s="105"/>
      <c r="T28" s="111">
        <f t="shared" si="4"/>
        <v>0</v>
      </c>
      <c r="U28" s="114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12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12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54">
        <f t="array" ref="X28">IF(T28=0,0,IF((AND((ROW(T28)=MATCH(TRUE,($T$1:$T$44)&gt;0,0)))),IF(W28&gt;=6,W28-6,0),IF(W28&gt;=2,2,W28)))</f>
        <v>0</v>
      </c>
      <c r="Y28" s="254">
        <f t="array" ref="Y28">IF(T27=0,0,(IF((AND((ROW(T27)=MATCH(TRUE,($T$1:$T$44)&gt;0,0)))),IF(W27&gt;=6,6,W27),IF(W27&gt;=2,W27-2,0))))</f>
        <v>0</v>
      </c>
      <c r="Z28" s="111" t="str">
        <f t="shared" si="1"/>
        <v/>
      </c>
      <c r="AA28" s="214">
        <f>IF(E27="ND",IF(ISERROR(MATCH(D28,Datenblatt!$L$2:$L$18,0)),3,2),IF(E27="ND12,5",IF(ISERROR(MATCH(D28,Datenblatt!$L$2:$L$18,0)),2.5,2),0))</f>
        <v>0</v>
      </c>
      <c r="AB28" s="214">
        <f>IF((IF(E28="ND",14-IF(D28="",0,VLOOKUP(D28,Datenblatt!$L$2:$M$30,2,FALSE)),IF(E28="ND12,5",2,0)))&lt;0,0,(IF(E28="ND",14-IF(D28="",0,VLOOKUP(D28,Datenblatt!$L$2:$M$30,2,FALSE)),IF(E28="ND12,5",2,0))))</f>
        <v>0</v>
      </c>
      <c r="AC28" s="214">
        <f t="shared" si="6"/>
        <v>0</v>
      </c>
      <c r="AD28" s="214">
        <f t="shared" si="7"/>
        <v>0</v>
      </c>
      <c r="AE28" s="214">
        <f t="shared" si="8"/>
        <v>0</v>
      </c>
      <c r="AF28" s="112">
        <f t="shared" si="9"/>
        <v>0</v>
      </c>
      <c r="AG28" s="112">
        <f t="shared" si="10"/>
        <v>0</v>
      </c>
      <c r="AH28" s="112">
        <f>IF(E28="",0,VLOOKUP(E28,Datenblatt!$E$2:$G$28,3,FALSE))</f>
        <v>0</v>
      </c>
    </row>
    <row r="29" spans="1:34" ht="13" customHeight="1">
      <c r="A29" s="89" t="str">
        <f>IF(ISERROR(VLOOKUP(C29,Datenblatt!$C$84:$C$97,1,FALSE)),"","Ft")</f>
        <v/>
      </c>
      <c r="B29" s="84">
        <f t="shared" si="0"/>
        <v>45673</v>
      </c>
      <c r="C29" s="86">
        <f t="shared" si="5"/>
        <v>45673</v>
      </c>
      <c r="D29" s="67"/>
      <c r="E29" s="67"/>
      <c r="F29" s="68"/>
      <c r="G29" s="69"/>
      <c r="H29" s="68"/>
      <c r="I29" s="68"/>
      <c r="J29" s="99"/>
      <c r="K29" s="21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20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10" t="str">
        <f>IF(D29="","",IF(E28="ND",VLOOKUP(D29,Datenblatt!$A$2:$C$31,3,FALSE)-1,IF(E28="ND12,5",VLOOKUP(D29,Datenblatt!$A$2:$C$31,3,FALSE)-0.5,VLOOKUP(D29,Datenblatt!$A$2:$C$31,3,FALSE))))</f>
        <v/>
      </c>
      <c r="N29" s="211" t="str">
        <f t="shared" si="2"/>
        <v/>
      </c>
      <c r="O29" s="211" t="str">
        <f t="shared" si="3"/>
        <v/>
      </c>
      <c r="P29" s="186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103" t="str">
        <f>IF(D29="","",VLOOKUP(D29,Datenblatt!$A$2:$D$31,4,FALSE))</f>
        <v/>
      </c>
      <c r="R29" s="104" t="str">
        <f>IF(E29="","",VLOOKUP(E29,Datenblatt!$E$2:$G$28,2,FALSE))</f>
        <v/>
      </c>
      <c r="S29" s="105"/>
      <c r="T29" s="111">
        <f t="shared" si="4"/>
        <v>0</v>
      </c>
      <c r="U29" s="114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12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12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54">
        <f t="array" ref="X29">IF(T29=0,0,IF((AND((ROW(T29)=MATCH(TRUE,($T$1:$T$44)&gt;0,0)))),IF(W29&gt;=6,W29-6,0),IF(W29&gt;=2,2,W29)))</f>
        <v>0</v>
      </c>
      <c r="Y29" s="254">
        <f t="array" ref="Y29">IF(T28=0,0,(IF((AND((ROW(T28)=MATCH(TRUE,($T$1:$T$44)&gt;0,0)))),IF(W28&gt;=6,6,W28),IF(W28&gt;=2,W28-2,0))))</f>
        <v>0</v>
      </c>
      <c r="Z29" s="111" t="str">
        <f t="shared" si="1"/>
        <v/>
      </c>
      <c r="AA29" s="214">
        <f>IF(E28="ND",IF(ISERROR(MATCH(D29,Datenblatt!$L$2:$L$18,0)),3,2),IF(E28="ND12,5",IF(ISERROR(MATCH(D29,Datenblatt!$L$2:$L$18,0)),2.5,2),0))</f>
        <v>0</v>
      </c>
      <c r="AB29" s="214">
        <f>IF((IF(E29="ND",14-IF(D29="",0,VLOOKUP(D29,Datenblatt!$L$2:$M$30,2,FALSE)),IF(E29="ND12,5",2,0)))&lt;0,0,(IF(E29="ND",14-IF(D29="",0,VLOOKUP(D29,Datenblatt!$L$2:$M$30,2,FALSE)),IF(E29="ND12,5",2,0))))</f>
        <v>0</v>
      </c>
      <c r="AC29" s="214">
        <f t="shared" si="6"/>
        <v>0</v>
      </c>
      <c r="AD29" s="214">
        <f t="shared" si="7"/>
        <v>0</v>
      </c>
      <c r="AE29" s="214">
        <f t="shared" si="8"/>
        <v>0</v>
      </c>
      <c r="AF29" s="112">
        <f t="shared" si="9"/>
        <v>0</v>
      </c>
      <c r="AG29" s="112">
        <f t="shared" si="10"/>
        <v>0</v>
      </c>
      <c r="AH29" s="112">
        <f>IF(E29="",0,VLOOKUP(E29,Datenblatt!$E$2:$G$28,3,FALSE))</f>
        <v>0</v>
      </c>
    </row>
    <row r="30" spans="1:34" ht="13" customHeight="1">
      <c r="A30" s="89" t="str">
        <f>IF(ISERROR(VLOOKUP(C30,Datenblatt!$C$84:$C$97,1,FALSE)),"","Ft")</f>
        <v/>
      </c>
      <c r="B30" s="84">
        <f t="shared" si="0"/>
        <v>45674</v>
      </c>
      <c r="C30" s="86">
        <f t="shared" si="5"/>
        <v>45674</v>
      </c>
      <c r="D30" s="67"/>
      <c r="E30" s="67"/>
      <c r="F30" s="68"/>
      <c r="G30" s="69"/>
      <c r="H30" s="68"/>
      <c r="I30" s="68"/>
      <c r="J30" s="99"/>
      <c r="K30" s="21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20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10" t="str">
        <f>IF(D30="","",IF(E29="ND",VLOOKUP(D30,Datenblatt!$A$2:$C$31,3,FALSE)-1,IF(E29="ND12,5",VLOOKUP(D30,Datenblatt!$A$2:$C$31,3,FALSE)-0.5,VLOOKUP(D30,Datenblatt!$A$2:$C$31,3,FALSE))))</f>
        <v/>
      </c>
      <c r="N30" s="211" t="str">
        <f t="shared" si="2"/>
        <v/>
      </c>
      <c r="O30" s="211" t="str">
        <f t="shared" si="3"/>
        <v/>
      </c>
      <c r="P30" s="186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103" t="str">
        <f>IF(D30="","",VLOOKUP(D30,Datenblatt!$A$2:$D$31,4,FALSE))</f>
        <v/>
      </c>
      <c r="R30" s="104" t="str">
        <f>IF(E30="","",VLOOKUP(E30,Datenblatt!$E$2:$G$28,2,FALSE))</f>
        <v/>
      </c>
      <c r="S30" s="105"/>
      <c r="T30" s="111">
        <f t="shared" si="4"/>
        <v>0</v>
      </c>
      <c r="U30" s="114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12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12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54">
        <f t="array" ref="X30">IF(T30=0,0,IF((AND((ROW(T30)=MATCH(TRUE,($T$1:$T$44)&gt;0,0)))),IF(W30&gt;=6,W30-6,0),IF(W30&gt;=2,2,W30)))</f>
        <v>0</v>
      </c>
      <c r="Y30" s="254">
        <f t="array" ref="Y30">IF(T29=0,0,(IF((AND((ROW(T29)=MATCH(TRUE,($T$1:$T$44)&gt;0,0)))),IF(W29&gt;=6,6,W29),IF(W29&gt;=2,W29-2,0))))</f>
        <v>0</v>
      </c>
      <c r="Z30" s="111" t="str">
        <f t="shared" si="1"/>
        <v/>
      </c>
      <c r="AA30" s="214">
        <f>IF(E29="ND",IF(ISERROR(MATCH(D30,Datenblatt!$L$2:$L$18,0)),3,2),IF(E29="ND12,5",IF(ISERROR(MATCH(D30,Datenblatt!$L$2:$L$18,0)),2.5,2),0))</f>
        <v>0</v>
      </c>
      <c r="AB30" s="214">
        <f>IF((IF(E30="ND",14-IF(D30="",0,VLOOKUP(D30,Datenblatt!$L$2:$M$30,2,FALSE)),IF(E30="ND12,5",2,0)))&lt;0,0,(IF(E30="ND",14-IF(D30="",0,VLOOKUP(D30,Datenblatt!$L$2:$M$30,2,FALSE)),IF(E30="ND12,5",2,0))))</f>
        <v>0</v>
      </c>
      <c r="AC30" s="214">
        <f t="shared" si="6"/>
        <v>0</v>
      </c>
      <c r="AD30" s="214">
        <f t="shared" si="7"/>
        <v>0</v>
      </c>
      <c r="AE30" s="214">
        <f t="shared" si="8"/>
        <v>0</v>
      </c>
      <c r="AF30" s="112">
        <f t="shared" si="9"/>
        <v>0</v>
      </c>
      <c r="AG30" s="112">
        <f t="shared" si="10"/>
        <v>0</v>
      </c>
      <c r="AH30" s="112">
        <f>IF(E30="",0,VLOOKUP(E30,Datenblatt!$E$2:$G$28,3,FALSE))</f>
        <v>0</v>
      </c>
    </row>
    <row r="31" spans="1:34" ht="13" customHeight="1">
      <c r="A31" s="89" t="str">
        <f>IF(ISERROR(VLOOKUP(C31,Datenblatt!$C$84:$C$97,1,FALSE)),"","Ft")</f>
        <v/>
      </c>
      <c r="B31" s="84">
        <f t="shared" si="0"/>
        <v>45675</v>
      </c>
      <c r="C31" s="86">
        <f t="shared" si="5"/>
        <v>45675</v>
      </c>
      <c r="D31" s="67"/>
      <c r="E31" s="67"/>
      <c r="F31" s="68"/>
      <c r="G31" s="69"/>
      <c r="H31" s="68"/>
      <c r="I31" s="68"/>
      <c r="J31" s="99"/>
      <c r="K31" s="21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20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10" t="str">
        <f>IF(D31="","",IF(E30="ND",VLOOKUP(D31,Datenblatt!$A$2:$C$31,3,FALSE)-1,IF(E30="ND12,5",VLOOKUP(D31,Datenblatt!$A$2:$C$31,3,FALSE)-0.5,VLOOKUP(D31,Datenblatt!$A$2:$C$31,3,FALSE))))</f>
        <v/>
      </c>
      <c r="N31" s="211" t="str">
        <f t="shared" si="2"/>
        <v/>
      </c>
      <c r="O31" s="211" t="str">
        <f t="shared" si="3"/>
        <v/>
      </c>
      <c r="P31" s="186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103" t="str">
        <f>IF(D31="","",VLOOKUP(D31,Datenblatt!$A$2:$D$31,4,FALSE))</f>
        <v/>
      </c>
      <c r="R31" s="104" t="str">
        <f>IF(E31="","",VLOOKUP(E31,Datenblatt!$E$2:$G$28,2,FALSE))</f>
        <v/>
      </c>
      <c r="S31" s="105"/>
      <c r="T31" s="111">
        <f t="shared" si="4"/>
        <v>0</v>
      </c>
      <c r="U31" s="114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12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12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54">
        <f t="array" ref="X31">IF(T31=0,0,IF((AND((ROW(T31)=MATCH(TRUE,($T$1:$T$44)&gt;0,0)))),IF(W31&gt;=6,W31-6,0),IF(W31&gt;=2,2,W31)))</f>
        <v>0</v>
      </c>
      <c r="Y31" s="254">
        <f t="array" ref="Y31">IF(T30=0,0,(IF((AND((ROW(T30)=MATCH(TRUE,($T$1:$T$44)&gt;0,0)))),IF(W30&gt;=6,6,W30),IF(W30&gt;=2,W30-2,0))))</f>
        <v>0</v>
      </c>
      <c r="Z31" s="111" t="str">
        <f t="shared" si="1"/>
        <v/>
      </c>
      <c r="AA31" s="214">
        <f>IF(E30="ND",IF(ISERROR(MATCH(D31,Datenblatt!$L$2:$L$18,0)),3,2),IF(E30="ND12,5",IF(ISERROR(MATCH(D31,Datenblatt!$L$2:$L$18,0)),2.5,2),0))</f>
        <v>0</v>
      </c>
      <c r="AB31" s="214">
        <f>IF((IF(E31="ND",14-IF(D31="",0,VLOOKUP(D31,Datenblatt!$L$2:$M$30,2,FALSE)),IF(E31="ND12,5",2,0)))&lt;0,0,(IF(E31="ND",14-IF(D31="",0,VLOOKUP(D31,Datenblatt!$L$2:$M$30,2,FALSE)),IF(E31="ND12,5",2,0))))</f>
        <v>0</v>
      </c>
      <c r="AC31" s="214">
        <f t="shared" si="6"/>
        <v>0</v>
      </c>
      <c r="AD31" s="214">
        <f t="shared" si="7"/>
        <v>0</v>
      </c>
      <c r="AE31" s="214">
        <f t="shared" si="8"/>
        <v>0</v>
      </c>
      <c r="AF31" s="112">
        <f t="shared" si="9"/>
        <v>0</v>
      </c>
      <c r="AG31" s="112">
        <f t="shared" si="10"/>
        <v>0</v>
      </c>
      <c r="AH31" s="112">
        <f>IF(E31="",0,VLOOKUP(E31,Datenblatt!$E$2:$G$28,3,FALSE))</f>
        <v>0</v>
      </c>
    </row>
    <row r="32" spans="1:34" ht="13" customHeight="1">
      <c r="A32" s="89" t="str">
        <f>IF(ISERROR(VLOOKUP(C32,Datenblatt!$C$84:$C$97,1,FALSE)),"","Ft")</f>
        <v/>
      </c>
      <c r="B32" s="84">
        <f t="shared" si="0"/>
        <v>45676</v>
      </c>
      <c r="C32" s="86">
        <f t="shared" si="5"/>
        <v>45676</v>
      </c>
      <c r="D32" s="67"/>
      <c r="E32" s="67"/>
      <c r="F32" s="68"/>
      <c r="G32" s="69"/>
      <c r="H32" s="68"/>
      <c r="I32" s="68"/>
      <c r="J32" s="99"/>
      <c r="K32" s="21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20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10" t="str">
        <f>IF(D32="","",IF(E31="ND",VLOOKUP(D32,Datenblatt!$A$2:$C$31,3,FALSE)-1,IF(E31="ND12,5",VLOOKUP(D32,Datenblatt!$A$2:$C$31,3,FALSE)-0.5,VLOOKUP(D32,Datenblatt!$A$2:$C$31,3,FALSE))))</f>
        <v/>
      </c>
      <c r="N32" s="211" t="str">
        <f t="shared" si="2"/>
        <v/>
      </c>
      <c r="O32" s="211">
        <f t="shared" si="3"/>
        <v>0</v>
      </c>
      <c r="P32" s="186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103" t="str">
        <f>IF(D32="","",VLOOKUP(D32,Datenblatt!$A$2:$D$31,4,FALSE))</f>
        <v/>
      </c>
      <c r="R32" s="104" t="str">
        <f>IF(E32="","",VLOOKUP(E32,Datenblatt!$E$2:$G$28,2,FALSE))</f>
        <v/>
      </c>
      <c r="S32" s="105"/>
      <c r="T32" s="111">
        <f t="shared" si="4"/>
        <v>0</v>
      </c>
      <c r="U32" s="114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12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12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54">
        <f t="array" ref="X32">IF(T32=0,0,IF((AND((ROW(T32)=MATCH(TRUE,($T$1:$T$44)&gt;0,0)))),IF(W32&gt;=6,W32-6,0),IF(W32&gt;=2,2,W32)))</f>
        <v>0</v>
      </c>
      <c r="Y32" s="254">
        <f t="array" ref="Y32">IF(T31=0,0,(IF((AND((ROW(T31)=MATCH(TRUE,($T$1:$T$44)&gt;0,0)))),IF(W31&gt;=6,6,W31),IF(W31&gt;=2,W31-2,0))))</f>
        <v>0</v>
      </c>
      <c r="Z32" s="111" t="str">
        <f t="shared" si="1"/>
        <v/>
      </c>
      <c r="AA32" s="214">
        <f>IF(E31="ND",IF(ISERROR(MATCH(D32,Datenblatt!$L$2:$L$18,0)),3,2),IF(E31="ND12,5",IF(ISERROR(MATCH(D32,Datenblatt!$L$2:$L$18,0)),2.5,2),0))</f>
        <v>0</v>
      </c>
      <c r="AB32" s="214">
        <f>IF((IF(E32="ND",14-IF(D32="",0,VLOOKUP(D32,Datenblatt!$L$2:$M$30,2,FALSE)),IF(E32="ND12,5",2,0)))&lt;0,0,(IF(E32="ND",14-IF(D32="",0,VLOOKUP(D32,Datenblatt!$L$2:$M$30,2,FALSE)),IF(E32="ND12,5",2,0))))</f>
        <v>0</v>
      </c>
      <c r="AC32" s="214">
        <f t="shared" si="6"/>
        <v>0</v>
      </c>
      <c r="AD32" s="214">
        <f t="shared" si="7"/>
        <v>0</v>
      </c>
      <c r="AE32" s="214">
        <f t="shared" si="8"/>
        <v>0</v>
      </c>
      <c r="AF32" s="112">
        <f t="shared" si="9"/>
        <v>0</v>
      </c>
      <c r="AG32" s="112">
        <f t="shared" si="10"/>
        <v>0</v>
      </c>
      <c r="AH32" s="112">
        <f>IF(E32="",0,VLOOKUP(E32,Datenblatt!$E$2:$G$28,3,FALSE))</f>
        <v>0</v>
      </c>
    </row>
    <row r="33" spans="1:34" ht="13" customHeight="1">
      <c r="A33" s="89" t="str">
        <f>IF(ISERROR(VLOOKUP(C33,Datenblatt!$C$84:$C$97,1,FALSE)),"","Ft")</f>
        <v/>
      </c>
      <c r="B33" s="84">
        <f t="shared" si="0"/>
        <v>45677</v>
      </c>
      <c r="C33" s="86">
        <f t="shared" si="5"/>
        <v>45677</v>
      </c>
      <c r="D33" s="67"/>
      <c r="E33" s="67"/>
      <c r="F33" s="68"/>
      <c r="G33" s="69"/>
      <c r="H33" s="68"/>
      <c r="I33" s="68"/>
      <c r="J33" s="99"/>
      <c r="K33" s="21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20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10" t="str">
        <f>IF(D33="","",IF(E32="ND",VLOOKUP(D33,Datenblatt!$A$2:$C$31,3,FALSE)-1,IF(E32="ND12,5",VLOOKUP(D33,Datenblatt!$A$2:$C$31,3,FALSE)-0.5,VLOOKUP(D33,Datenblatt!$A$2:$C$31,3,FALSE))))</f>
        <v/>
      </c>
      <c r="N33" s="211" t="str">
        <f t="shared" si="2"/>
        <v/>
      </c>
      <c r="O33" s="211" t="str">
        <f t="shared" si="3"/>
        <v/>
      </c>
      <c r="P33" s="186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103" t="str">
        <f>IF(D33="","",VLOOKUP(D33,Datenblatt!$A$2:$D$31,4,FALSE))</f>
        <v/>
      </c>
      <c r="R33" s="104" t="str">
        <f>IF(E33="","",VLOOKUP(E33,Datenblatt!$E$2:$G$28,2,FALSE))</f>
        <v/>
      </c>
      <c r="S33" s="105"/>
      <c r="T33" s="111">
        <f t="shared" si="4"/>
        <v>0</v>
      </c>
      <c r="U33" s="114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12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12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54">
        <f t="array" ref="X33">IF(T33=0,0,IF((AND((ROW(T33)=MATCH(TRUE,($T$1:$T$44)&gt;0,0)))),IF(W33&gt;=6,W33-6,0),IF(W33&gt;=2,2,W33)))</f>
        <v>0</v>
      </c>
      <c r="Y33" s="254">
        <f t="array" ref="Y33">IF(T32=0,0,(IF((AND((ROW(T32)=MATCH(TRUE,($T$1:$T$44)&gt;0,0)))),IF(W32&gt;=6,6,W32),IF(W32&gt;=2,W32-2,0))))</f>
        <v>0</v>
      </c>
      <c r="Z33" s="111" t="str">
        <f t="shared" si="1"/>
        <v/>
      </c>
      <c r="AA33" s="214">
        <f>IF(E32="ND",IF(ISERROR(MATCH(D33,Datenblatt!$L$2:$L$18,0)),3,2),IF(E32="ND12,5",IF(ISERROR(MATCH(D33,Datenblatt!$L$2:$L$18,0)),2.5,2),0))</f>
        <v>0</v>
      </c>
      <c r="AB33" s="214">
        <f>IF((IF(E33="ND",14-IF(D33="",0,VLOOKUP(D33,Datenblatt!$L$2:$M$30,2,FALSE)),IF(E33="ND12,5",2,0)))&lt;0,0,(IF(E33="ND",14-IF(D33="",0,VLOOKUP(D33,Datenblatt!$L$2:$M$30,2,FALSE)),IF(E33="ND12,5",2,0))))</f>
        <v>0</v>
      </c>
      <c r="AC33" s="214">
        <f t="shared" si="6"/>
        <v>0</v>
      </c>
      <c r="AD33" s="214">
        <f t="shared" si="7"/>
        <v>0</v>
      </c>
      <c r="AE33" s="214">
        <f t="shared" si="8"/>
        <v>0</v>
      </c>
      <c r="AF33" s="112">
        <f t="shared" si="9"/>
        <v>0</v>
      </c>
      <c r="AG33" s="112">
        <f t="shared" si="10"/>
        <v>0</v>
      </c>
      <c r="AH33" s="112">
        <f>IF(E33="",0,VLOOKUP(E33,Datenblatt!$E$2:$G$28,3,FALSE))</f>
        <v>0</v>
      </c>
    </row>
    <row r="34" spans="1:34" ht="13" customHeight="1">
      <c r="A34" s="89" t="str">
        <f>IF(ISERROR(VLOOKUP(C34,Datenblatt!$C$84:$C$97,1,FALSE)),"","Ft")</f>
        <v/>
      </c>
      <c r="B34" s="84">
        <f t="shared" si="0"/>
        <v>45678</v>
      </c>
      <c r="C34" s="86">
        <f t="shared" si="5"/>
        <v>45678</v>
      </c>
      <c r="D34" s="67"/>
      <c r="E34" s="67"/>
      <c r="F34" s="68"/>
      <c r="G34" s="69"/>
      <c r="H34" s="68"/>
      <c r="I34" s="68"/>
      <c r="J34" s="99"/>
      <c r="K34" s="21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20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10" t="str">
        <f>IF(D34="","",IF(E33="ND",VLOOKUP(D34,Datenblatt!$A$2:$C$31,3,FALSE)-1,IF(E33="ND12,5",VLOOKUP(D34,Datenblatt!$A$2:$C$31,3,FALSE)-0.5,VLOOKUP(D34,Datenblatt!$A$2:$C$31,3,FALSE))))</f>
        <v/>
      </c>
      <c r="N34" s="211" t="str">
        <f t="shared" si="2"/>
        <v/>
      </c>
      <c r="O34" s="211" t="str">
        <f t="shared" si="3"/>
        <v/>
      </c>
      <c r="P34" s="186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103" t="str">
        <f>IF(D34="","",VLOOKUP(D34,Datenblatt!$A$2:$D$31,4,FALSE))</f>
        <v/>
      </c>
      <c r="R34" s="104" t="str">
        <f>IF(E34="","",VLOOKUP(E34,Datenblatt!$E$2:$G$28,2,FALSE))</f>
        <v/>
      </c>
      <c r="S34" s="105"/>
      <c r="T34" s="111">
        <f t="shared" si="4"/>
        <v>0</v>
      </c>
      <c r="U34" s="114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12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12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54">
        <f t="array" ref="X34">IF(T34=0,0,IF((AND((ROW(T34)=MATCH(TRUE,($T$1:$T$44)&gt;0,0)))),IF(W34&gt;=6,W34-6,0),IF(W34&gt;=2,2,W34)))</f>
        <v>0</v>
      </c>
      <c r="Y34" s="254">
        <f t="array" ref="Y34">IF(T33=0,0,(IF((AND((ROW(T33)=MATCH(TRUE,($T$1:$T$44)&gt;0,0)))),IF(W33&gt;=6,6,W33),IF(W33&gt;=2,W33-2,0))))</f>
        <v>0</v>
      </c>
      <c r="Z34" s="111" t="str">
        <f t="shared" si="1"/>
        <v/>
      </c>
      <c r="AA34" s="214">
        <f>IF(E33="ND",IF(ISERROR(MATCH(D34,Datenblatt!$L$2:$L$18,0)),3,2),IF(E33="ND12,5",IF(ISERROR(MATCH(D34,Datenblatt!$L$2:$L$18,0)),2.5,2),0))</f>
        <v>0</v>
      </c>
      <c r="AB34" s="214">
        <f>IF((IF(E34="ND",14-IF(D34="",0,VLOOKUP(D34,Datenblatt!$L$2:$M$30,2,FALSE)),IF(E34="ND12,5",2,0)))&lt;0,0,(IF(E34="ND",14-IF(D34="",0,VLOOKUP(D34,Datenblatt!$L$2:$M$30,2,FALSE)),IF(E34="ND12,5",2,0))))</f>
        <v>0</v>
      </c>
      <c r="AC34" s="214">
        <f t="shared" si="6"/>
        <v>0</v>
      </c>
      <c r="AD34" s="214">
        <f t="shared" si="7"/>
        <v>0</v>
      </c>
      <c r="AE34" s="214">
        <f t="shared" si="8"/>
        <v>0</v>
      </c>
      <c r="AF34" s="112">
        <f t="shared" si="9"/>
        <v>0</v>
      </c>
      <c r="AG34" s="112">
        <f t="shared" si="10"/>
        <v>0</v>
      </c>
      <c r="AH34" s="112">
        <f>IF(E34="",0,VLOOKUP(E34,Datenblatt!$E$2:$G$28,3,FALSE))</f>
        <v>0</v>
      </c>
    </row>
    <row r="35" spans="1:34" ht="13" customHeight="1">
      <c r="A35" s="89" t="str">
        <f>IF(ISERROR(VLOOKUP(C35,Datenblatt!$C$84:$C$97,1,FALSE)),"","Ft")</f>
        <v/>
      </c>
      <c r="B35" s="84">
        <f t="shared" si="0"/>
        <v>45679</v>
      </c>
      <c r="C35" s="86">
        <f t="shared" si="5"/>
        <v>45679</v>
      </c>
      <c r="D35" s="67"/>
      <c r="E35" s="67"/>
      <c r="F35" s="68"/>
      <c r="G35" s="69"/>
      <c r="H35" s="68"/>
      <c r="I35" s="68"/>
      <c r="J35" s="99"/>
      <c r="K35" s="21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20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10" t="str">
        <f>IF(D35="","",IF(E34="ND",VLOOKUP(D35,Datenblatt!$A$2:$C$31,3,FALSE)-1,IF(E34="ND12,5",VLOOKUP(D35,Datenblatt!$A$2:$C$31,3,FALSE)-0.5,VLOOKUP(D35,Datenblatt!$A$2:$C$31,3,FALSE))))</f>
        <v/>
      </c>
      <c r="N35" s="211" t="str">
        <f t="shared" si="2"/>
        <v/>
      </c>
      <c r="O35" s="211" t="str">
        <f t="shared" si="3"/>
        <v/>
      </c>
      <c r="P35" s="186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103" t="str">
        <f>IF(D35="","",VLOOKUP(D35,Datenblatt!$A$2:$D$31,4,FALSE))</f>
        <v/>
      </c>
      <c r="R35" s="104" t="str">
        <f>IF(E35="","",VLOOKUP(E35,Datenblatt!$E$2:$G$28,2,FALSE))</f>
        <v/>
      </c>
      <c r="S35" s="105"/>
      <c r="T35" s="111">
        <f t="shared" si="4"/>
        <v>0</v>
      </c>
      <c r="U35" s="114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12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12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54">
        <f t="array" ref="X35">IF(T35=0,0,IF((AND((ROW(T35)=MATCH(TRUE,($T$1:$T$44)&gt;0,0)))),IF(W35&gt;=6,W35-6,0),IF(W35&gt;=2,2,W35)))</f>
        <v>0</v>
      </c>
      <c r="Y35" s="254">
        <f t="array" ref="Y35">IF(T34=0,0,(IF((AND((ROW(T34)=MATCH(TRUE,($T$1:$T$44)&gt;0,0)))),IF(W34&gt;=6,6,W34),IF(W34&gt;=2,W34-2,0))))</f>
        <v>0</v>
      </c>
      <c r="Z35" s="111" t="str">
        <f t="shared" si="1"/>
        <v/>
      </c>
      <c r="AA35" s="214">
        <f>IF(E34="ND",IF(ISERROR(MATCH(D35,Datenblatt!$L$2:$L$18,0)),3,2),IF(E34="ND12,5",IF(ISERROR(MATCH(D35,Datenblatt!$L$2:$L$18,0)),2.5,2),0))</f>
        <v>0</v>
      </c>
      <c r="AB35" s="214">
        <f>IF((IF(E35="ND",14-IF(D35="",0,VLOOKUP(D35,Datenblatt!$L$2:$M$30,2,FALSE)),IF(E35="ND12,5",2,0)))&lt;0,0,(IF(E35="ND",14-IF(D35="",0,VLOOKUP(D35,Datenblatt!$L$2:$M$30,2,FALSE)),IF(E35="ND12,5",2,0))))</f>
        <v>0</v>
      </c>
      <c r="AC35" s="214">
        <f t="shared" si="6"/>
        <v>0</v>
      </c>
      <c r="AD35" s="214">
        <f t="shared" si="7"/>
        <v>0</v>
      </c>
      <c r="AE35" s="214">
        <f t="shared" si="8"/>
        <v>0</v>
      </c>
      <c r="AF35" s="112">
        <f t="shared" si="9"/>
        <v>0</v>
      </c>
      <c r="AG35" s="112">
        <f t="shared" si="10"/>
        <v>0</v>
      </c>
      <c r="AH35" s="112">
        <f>IF(E35="",0,VLOOKUP(E35,Datenblatt!$E$2:$G$28,3,FALSE))</f>
        <v>0</v>
      </c>
    </row>
    <row r="36" spans="1:34" ht="13" customHeight="1">
      <c r="A36" s="89" t="str">
        <f>IF(ISERROR(VLOOKUP(C36,Datenblatt!$C$84:$C$97,1,FALSE)),"","Ft")</f>
        <v/>
      </c>
      <c r="B36" s="84">
        <f t="shared" si="0"/>
        <v>45680</v>
      </c>
      <c r="C36" s="86">
        <f t="shared" si="5"/>
        <v>45680</v>
      </c>
      <c r="D36" s="67"/>
      <c r="E36" s="67"/>
      <c r="F36" s="68"/>
      <c r="G36" s="69"/>
      <c r="H36" s="68"/>
      <c r="I36" s="68"/>
      <c r="J36" s="99"/>
      <c r="K36" s="21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20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10" t="str">
        <f>IF(D36="","",IF(E35="ND",VLOOKUP(D36,Datenblatt!$A$2:$C$31,3,FALSE)-1,IF(E35="ND12,5",VLOOKUP(D36,Datenblatt!$A$2:$C$31,3,FALSE)-0.5,VLOOKUP(D36,Datenblatt!$A$2:$C$31,3,FALSE))))</f>
        <v/>
      </c>
      <c r="N36" s="211" t="str">
        <f t="shared" si="2"/>
        <v/>
      </c>
      <c r="O36" s="211" t="str">
        <f t="shared" si="3"/>
        <v/>
      </c>
      <c r="P36" s="186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103" t="str">
        <f>IF(D36="","",VLOOKUP(D36,Datenblatt!$A$2:$D$31,4,FALSE))</f>
        <v/>
      </c>
      <c r="R36" s="104" t="str">
        <f>IF(E36="","",VLOOKUP(E36,Datenblatt!$E$2:$G$28,2,FALSE))</f>
        <v/>
      </c>
      <c r="S36" s="105"/>
      <c r="T36" s="111">
        <f t="shared" si="4"/>
        <v>0</v>
      </c>
      <c r="U36" s="114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12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12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54">
        <f t="array" ref="X36">IF(T36=0,0,IF((AND((ROW(T36)=MATCH(TRUE,($T$1:$T$44)&gt;0,0)))),IF(W36&gt;=6,W36-6,0),IF(W36&gt;=2,2,W36)))</f>
        <v>0</v>
      </c>
      <c r="Y36" s="254">
        <f t="array" ref="Y36">IF(T35=0,0,(IF((AND((ROW(T35)=MATCH(TRUE,($T$1:$T$44)&gt;0,0)))),IF(W35&gt;=6,6,W35),IF(W35&gt;=2,W35-2,0))))</f>
        <v>0</v>
      </c>
      <c r="Z36" s="111" t="str">
        <f t="shared" si="1"/>
        <v/>
      </c>
      <c r="AA36" s="214">
        <f>IF(E35="ND",IF(ISERROR(MATCH(D36,Datenblatt!$L$2:$L$18,0)),3,2),IF(E35="ND12,5",IF(ISERROR(MATCH(D36,Datenblatt!$L$2:$L$18,0)),2.5,2),0))</f>
        <v>0</v>
      </c>
      <c r="AB36" s="214">
        <f>IF((IF(E36="ND",14-IF(D36="",0,VLOOKUP(D36,Datenblatt!$L$2:$M$30,2,FALSE)),IF(E36="ND12,5",2,0)))&lt;0,0,(IF(E36="ND",14-IF(D36="",0,VLOOKUP(D36,Datenblatt!$L$2:$M$30,2,FALSE)),IF(E36="ND12,5",2,0))))</f>
        <v>0</v>
      </c>
      <c r="AC36" s="214">
        <f t="shared" si="6"/>
        <v>0</v>
      </c>
      <c r="AD36" s="214">
        <f t="shared" si="7"/>
        <v>0</v>
      </c>
      <c r="AE36" s="214">
        <f t="shared" si="8"/>
        <v>0</v>
      </c>
      <c r="AF36" s="112">
        <f t="shared" si="9"/>
        <v>0</v>
      </c>
      <c r="AG36" s="112">
        <f t="shared" si="10"/>
        <v>0</v>
      </c>
      <c r="AH36" s="112">
        <f>IF(E36="",0,VLOOKUP(E36,Datenblatt!$E$2:$G$28,3,FALSE))</f>
        <v>0</v>
      </c>
    </row>
    <row r="37" spans="1:34" ht="13" customHeight="1">
      <c r="A37" s="89" t="str">
        <f>IF(ISERROR(VLOOKUP(C37,Datenblatt!$C$84:$C$97,1,FALSE)),"","Ft")</f>
        <v/>
      </c>
      <c r="B37" s="84">
        <f t="shared" si="0"/>
        <v>45681</v>
      </c>
      <c r="C37" s="86">
        <f t="shared" si="5"/>
        <v>45681</v>
      </c>
      <c r="D37" s="67"/>
      <c r="E37" s="67"/>
      <c r="F37" s="68"/>
      <c r="G37" s="69"/>
      <c r="H37" s="68"/>
      <c r="I37" s="68"/>
      <c r="J37" s="99"/>
      <c r="K37" s="21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20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10" t="str">
        <f>IF(D37="","",IF(E36="ND",VLOOKUP(D37,Datenblatt!$A$2:$C$31,3,FALSE)-1,IF(E36="ND12,5",VLOOKUP(D37,Datenblatt!$A$2:$C$31,3,FALSE)-0.5,VLOOKUP(D37,Datenblatt!$A$2:$C$31,3,FALSE))))</f>
        <v/>
      </c>
      <c r="N37" s="211" t="str">
        <f t="shared" si="2"/>
        <v/>
      </c>
      <c r="O37" s="211" t="str">
        <f t="shared" si="3"/>
        <v/>
      </c>
      <c r="P37" s="186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103" t="str">
        <f>IF(D37="","",VLOOKUP(D37,Datenblatt!$A$2:$D$31,4,FALSE))</f>
        <v/>
      </c>
      <c r="R37" s="104" t="str">
        <f>IF(E37="","",VLOOKUP(E37,Datenblatt!$E$2:$G$28,2,FALSE))</f>
        <v/>
      </c>
      <c r="S37" s="105"/>
      <c r="T37" s="111">
        <f t="shared" si="4"/>
        <v>0</v>
      </c>
      <c r="U37" s="114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12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12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54">
        <f t="array" ref="X37">IF(T37=0,0,IF((AND((ROW(T37)=MATCH(TRUE,($T$1:$T$44)&gt;0,0)))),IF(W37&gt;=6,W37-6,0),IF(W37&gt;=2,2,W37)))</f>
        <v>0</v>
      </c>
      <c r="Y37" s="254">
        <f t="array" ref="Y37">IF(T36=0,0,(IF((AND((ROW(T36)=MATCH(TRUE,($T$1:$T$44)&gt;0,0)))),IF(W36&gt;=6,6,W36),IF(W36&gt;=2,W36-2,0))))</f>
        <v>0</v>
      </c>
      <c r="Z37" s="111" t="str">
        <f t="shared" si="1"/>
        <v/>
      </c>
      <c r="AA37" s="214">
        <f>IF(E36="ND",IF(ISERROR(MATCH(D37,Datenblatt!$L$2:$L$18,0)),3,2),IF(E36="ND12,5",IF(ISERROR(MATCH(D37,Datenblatt!$L$2:$L$18,0)),2.5,2),0))</f>
        <v>0</v>
      </c>
      <c r="AB37" s="214">
        <f>IF((IF(E37="ND",14-IF(D37="",0,VLOOKUP(D37,Datenblatt!$L$2:$M$30,2,FALSE)),IF(E37="ND12,5",2,0)))&lt;0,0,(IF(E37="ND",14-IF(D37="",0,VLOOKUP(D37,Datenblatt!$L$2:$M$30,2,FALSE)),IF(E37="ND12,5",2,0))))</f>
        <v>0</v>
      </c>
      <c r="AC37" s="214">
        <f t="shared" si="6"/>
        <v>0</v>
      </c>
      <c r="AD37" s="214">
        <f t="shared" si="7"/>
        <v>0</v>
      </c>
      <c r="AE37" s="214">
        <f t="shared" si="8"/>
        <v>0</v>
      </c>
      <c r="AF37" s="112">
        <f t="shared" si="9"/>
        <v>0</v>
      </c>
      <c r="AG37" s="112">
        <f t="shared" si="10"/>
        <v>0</v>
      </c>
      <c r="AH37" s="112">
        <f>IF(E37="",0,VLOOKUP(E37,Datenblatt!$E$2:$G$28,3,FALSE))</f>
        <v>0</v>
      </c>
    </row>
    <row r="38" spans="1:34" ht="13" customHeight="1">
      <c r="A38" s="89" t="str">
        <f>IF(ISERROR(VLOOKUP(C38,Datenblatt!$C$84:$C$97,1,FALSE)),"","Ft")</f>
        <v/>
      </c>
      <c r="B38" s="84">
        <f t="shared" si="0"/>
        <v>45682</v>
      </c>
      <c r="C38" s="86">
        <f t="shared" si="5"/>
        <v>45682</v>
      </c>
      <c r="D38" s="67"/>
      <c r="E38" s="67"/>
      <c r="F38" s="68"/>
      <c r="G38" s="69"/>
      <c r="H38" s="68"/>
      <c r="I38" s="68"/>
      <c r="J38" s="99"/>
      <c r="K38" s="21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20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10" t="str">
        <f>IF(D38="","",IF(E37="ND",VLOOKUP(D38,Datenblatt!$A$2:$C$31,3,FALSE)-1,IF(E37="ND12,5",VLOOKUP(D38,Datenblatt!$A$2:$C$31,3,FALSE)-0.5,VLOOKUP(D38,Datenblatt!$A$2:$C$31,3,FALSE))))</f>
        <v/>
      </c>
      <c r="N38" s="211" t="str">
        <f t="shared" si="2"/>
        <v/>
      </c>
      <c r="O38" s="211" t="str">
        <f t="shared" si="3"/>
        <v/>
      </c>
      <c r="P38" s="186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103" t="str">
        <f>IF(D38="","",VLOOKUP(D38,Datenblatt!$A$2:$D$31,4,FALSE))</f>
        <v/>
      </c>
      <c r="R38" s="104" t="str">
        <f>IF(E38="","",VLOOKUP(E38,Datenblatt!$E$2:$G$28,2,FALSE))</f>
        <v/>
      </c>
      <c r="S38" s="105"/>
      <c r="T38" s="111">
        <f t="shared" si="4"/>
        <v>0</v>
      </c>
      <c r="U38" s="114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12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12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54">
        <f t="array" ref="X38">IF(T38=0,0,IF((AND((ROW(T38)=MATCH(TRUE,($T$1:$T$44)&gt;0,0)))),IF(W38&gt;=6,W38-6,0),IF(W38&gt;=2,2,W38)))</f>
        <v>0</v>
      </c>
      <c r="Y38" s="254">
        <f t="array" ref="Y38">IF(T37=0,0,(IF((AND((ROW(T37)=MATCH(TRUE,($T$1:$T$44)&gt;0,0)))),IF(W37&gt;=6,6,W37),IF(W37&gt;=2,W37-2,0))))</f>
        <v>0</v>
      </c>
      <c r="Z38" s="111" t="str">
        <f t="shared" si="1"/>
        <v/>
      </c>
      <c r="AA38" s="214">
        <f>IF(E37="ND",IF(ISERROR(MATCH(D38,Datenblatt!$L$2:$L$18,0)),3,2),IF(E37="ND12,5",IF(ISERROR(MATCH(D38,Datenblatt!$L$2:$L$18,0)),2.5,2),0))</f>
        <v>0</v>
      </c>
      <c r="AB38" s="214">
        <f>IF((IF(E38="ND",14-IF(D38="",0,VLOOKUP(D38,Datenblatt!$L$2:$M$30,2,FALSE)),IF(E38="ND12,5",2,0)))&lt;0,0,(IF(E38="ND",14-IF(D38="",0,VLOOKUP(D38,Datenblatt!$L$2:$M$30,2,FALSE)),IF(E38="ND12,5",2,0))))</f>
        <v>0</v>
      </c>
      <c r="AC38" s="214">
        <f t="shared" si="6"/>
        <v>0</v>
      </c>
      <c r="AD38" s="214">
        <f t="shared" si="7"/>
        <v>0</v>
      </c>
      <c r="AE38" s="214">
        <f t="shared" si="8"/>
        <v>0</v>
      </c>
      <c r="AF38" s="112">
        <f t="shared" si="9"/>
        <v>0</v>
      </c>
      <c r="AG38" s="112">
        <f t="shared" si="10"/>
        <v>0</v>
      </c>
      <c r="AH38" s="112">
        <f>IF(E38="",0,VLOOKUP(E38,Datenblatt!$E$2:$G$28,3,FALSE))</f>
        <v>0</v>
      </c>
    </row>
    <row r="39" spans="1:34" ht="13" customHeight="1">
      <c r="A39" s="89" t="str">
        <f>IF(ISERROR(VLOOKUP(C39,Datenblatt!$C$84:$C$97,1,FALSE)),"","Ft")</f>
        <v/>
      </c>
      <c r="B39" s="84">
        <f t="shared" si="0"/>
        <v>45683</v>
      </c>
      <c r="C39" s="86">
        <f t="shared" si="5"/>
        <v>45683</v>
      </c>
      <c r="D39" s="67"/>
      <c r="E39" s="67"/>
      <c r="F39" s="68"/>
      <c r="G39" s="69"/>
      <c r="H39" s="68"/>
      <c r="I39" s="68"/>
      <c r="J39" s="99"/>
      <c r="K39" s="21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20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10" t="str">
        <f>IF(D39="","",IF(E38="ND",VLOOKUP(D39,Datenblatt!$A$2:$C$31,3,FALSE)-1,IF(E38="ND12,5",VLOOKUP(D39,Datenblatt!$A$2:$C$31,3,FALSE)-0.5,VLOOKUP(D39,Datenblatt!$A$2:$C$31,3,FALSE))))</f>
        <v/>
      </c>
      <c r="N39" s="211" t="str">
        <f t="shared" si="2"/>
        <v/>
      </c>
      <c r="O39" s="211">
        <f t="shared" si="3"/>
        <v>0</v>
      </c>
      <c r="P39" s="186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103" t="str">
        <f>IF(D39="","",VLOOKUP(D39,Datenblatt!$A$2:$D$31,4,FALSE))</f>
        <v/>
      </c>
      <c r="R39" s="104" t="str">
        <f>IF(E39="","",VLOOKUP(E39,Datenblatt!$E$2:$G$28,2,FALSE))</f>
        <v/>
      </c>
      <c r="S39" s="105"/>
      <c r="T39" s="111">
        <f t="shared" si="4"/>
        <v>0</v>
      </c>
      <c r="U39" s="114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12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12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54">
        <f t="array" ref="X39">IF(T39=0,0,IF((AND((ROW(T39)=MATCH(TRUE,($T$1:$T$44)&gt;0,0)))),IF(W39&gt;=6,W39-6,0),IF(W39&gt;=2,2,W39)))</f>
        <v>0</v>
      </c>
      <c r="Y39" s="254">
        <f t="array" ref="Y39">IF(T38=0,0,(IF((AND((ROW(T38)=MATCH(TRUE,($T$1:$T$44)&gt;0,0)))),IF(W38&gt;=6,6,W38),IF(W38&gt;=2,W38-2,0))))</f>
        <v>0</v>
      </c>
      <c r="Z39" s="111" t="str">
        <f t="shared" si="1"/>
        <v/>
      </c>
      <c r="AA39" s="214">
        <f>IF(E38="ND",IF(ISERROR(MATCH(D39,Datenblatt!$L$2:$L$18,0)),3,2),IF(E38="ND12,5",IF(ISERROR(MATCH(D39,Datenblatt!$L$2:$L$18,0)),2.5,2),0))</f>
        <v>0</v>
      </c>
      <c r="AB39" s="214">
        <f>IF((IF(E39="ND",14-IF(D39="",0,VLOOKUP(D39,Datenblatt!$L$2:$M$30,2,FALSE)),IF(E39="ND12,5",2,0)))&lt;0,0,(IF(E39="ND",14-IF(D39="",0,VLOOKUP(D39,Datenblatt!$L$2:$M$30,2,FALSE)),IF(E39="ND12,5",2,0))))</f>
        <v>0</v>
      </c>
      <c r="AC39" s="214">
        <f t="shared" si="6"/>
        <v>0</v>
      </c>
      <c r="AD39" s="214">
        <f t="shared" si="7"/>
        <v>0</v>
      </c>
      <c r="AE39" s="214">
        <f t="shared" si="8"/>
        <v>0</v>
      </c>
      <c r="AF39" s="112">
        <f t="shared" si="9"/>
        <v>0</v>
      </c>
      <c r="AG39" s="112">
        <f t="shared" si="10"/>
        <v>0</v>
      </c>
      <c r="AH39" s="112">
        <f>IF(E39="",0,VLOOKUP(E39,Datenblatt!$E$2:$G$28,3,FALSE))</f>
        <v>0</v>
      </c>
    </row>
    <row r="40" spans="1:34" ht="13" customHeight="1">
      <c r="A40" s="89" t="str">
        <f>IF(ISERROR(VLOOKUP(C40,Datenblatt!$C$84:$C$97,1,FALSE)),"","Ft")</f>
        <v/>
      </c>
      <c r="B40" s="84">
        <f t="shared" si="0"/>
        <v>45684</v>
      </c>
      <c r="C40" s="86">
        <f t="shared" si="5"/>
        <v>45684</v>
      </c>
      <c r="D40" s="67"/>
      <c r="E40" s="67"/>
      <c r="F40" s="68"/>
      <c r="G40" s="69"/>
      <c r="H40" s="68"/>
      <c r="I40" s="68"/>
      <c r="J40" s="99"/>
      <c r="K40" s="21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20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10" t="str">
        <f>IF(D40="","",IF(E39="ND",VLOOKUP(D40,Datenblatt!$A$2:$C$31,3,FALSE)-1,IF(E39="ND12,5",VLOOKUP(D40,Datenblatt!$A$2:$C$31,3,FALSE)-0.5,VLOOKUP(D40,Datenblatt!$A$2:$C$31,3,FALSE))))</f>
        <v/>
      </c>
      <c r="N40" s="211" t="str">
        <f t="shared" si="2"/>
        <v/>
      </c>
      <c r="O40" s="211" t="str">
        <f t="shared" si="3"/>
        <v/>
      </c>
      <c r="P40" s="186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103" t="str">
        <f>IF(D40="","",VLOOKUP(D40,Datenblatt!$A$2:$D$31,4,FALSE))</f>
        <v/>
      </c>
      <c r="R40" s="104" t="str">
        <f>IF(E40="","",VLOOKUP(E40,Datenblatt!$E$2:$G$28,2,FALSE))</f>
        <v/>
      </c>
      <c r="S40" s="106"/>
      <c r="T40" s="111">
        <f t="shared" si="4"/>
        <v>0</v>
      </c>
      <c r="U40" s="114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12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12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54">
        <f t="array" ref="X40">IF(T40=0,0,IF((AND((ROW(T40)=MATCH(TRUE,($T$1:$T$44)&gt;0,0)))),IF(W40&gt;=6,W40-6,0),IF(W40&gt;=2,2,W40)))</f>
        <v>0</v>
      </c>
      <c r="Y40" s="254">
        <f t="array" ref="Y40">IF(T39=0,0,(IF((AND((ROW(T39)=MATCH(TRUE,($T$1:$T$44)&gt;0,0)))),IF(W39&gt;=6,6,W39),IF(W39&gt;=2,W39-2,0))))</f>
        <v>0</v>
      </c>
      <c r="Z40" s="111" t="str">
        <f t="shared" si="1"/>
        <v/>
      </c>
      <c r="AA40" s="214">
        <f>IF(E39="ND",IF(ISERROR(MATCH(D40,Datenblatt!$L$2:$L$18,0)),3,2),IF(E39="ND12,5",IF(ISERROR(MATCH(D40,Datenblatt!$L$2:$L$18,0)),2.5,2),0))</f>
        <v>0</v>
      </c>
      <c r="AB40" s="214">
        <f>IF((IF(E40="ND",14-IF(D40="",0,VLOOKUP(D40,Datenblatt!$L$2:$M$30,2,FALSE)),IF(E40="ND12,5",2,0)))&lt;0,0,(IF(E40="ND",14-IF(D40="",0,VLOOKUP(D40,Datenblatt!$L$2:$M$30,2,FALSE)),IF(E40="ND12,5",2,0))))</f>
        <v>0</v>
      </c>
      <c r="AC40" s="214">
        <f t="shared" si="6"/>
        <v>0</v>
      </c>
      <c r="AD40" s="214">
        <f t="shared" si="7"/>
        <v>0</v>
      </c>
      <c r="AE40" s="214">
        <f t="shared" si="8"/>
        <v>0</v>
      </c>
      <c r="AF40" s="112">
        <f t="shared" si="9"/>
        <v>0</v>
      </c>
      <c r="AG40" s="112">
        <f t="shared" si="10"/>
        <v>0</v>
      </c>
      <c r="AH40" s="112">
        <f>IF(E40="",0,VLOOKUP(E40,Datenblatt!$E$2:$G$28,3,FALSE))</f>
        <v>0</v>
      </c>
    </row>
    <row r="41" spans="1:34" ht="13" customHeight="1">
      <c r="A41" s="89" t="str">
        <f>IF(ISERROR(VLOOKUP(C41,Datenblatt!$C$84:$C$97,1,FALSE)),"","Ft")</f>
        <v/>
      </c>
      <c r="B41" s="84">
        <f t="shared" si="0"/>
        <v>45685</v>
      </c>
      <c r="C41" s="86">
        <f t="shared" si="5"/>
        <v>45685</v>
      </c>
      <c r="D41" s="67"/>
      <c r="E41" s="67"/>
      <c r="F41" s="68"/>
      <c r="G41" s="69"/>
      <c r="H41" s="68"/>
      <c r="I41" s="68"/>
      <c r="J41" s="99"/>
      <c r="K41" s="21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20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10" t="str">
        <f>IF(D41="","",IF(E40="ND",VLOOKUP(D41,Datenblatt!$A$2:$C$31,3,FALSE)-1,IF(E40="ND12,5",VLOOKUP(D41,Datenblatt!$A$2:$C$31,3,FALSE)-0.5,VLOOKUP(D41,Datenblatt!$A$2:$C$31,3,FALSE))))</f>
        <v/>
      </c>
      <c r="N41" s="211" t="str">
        <f t="shared" si="2"/>
        <v/>
      </c>
      <c r="O41" s="211" t="str">
        <f t="shared" si="3"/>
        <v/>
      </c>
      <c r="P41" s="186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103" t="str">
        <f>IF(D41="","",VLOOKUP(D41,Datenblatt!$A$2:$D$31,4,FALSE))</f>
        <v/>
      </c>
      <c r="R41" s="104" t="str">
        <f>IF(E41="","",VLOOKUP(E41,Datenblatt!$E$2:$G$28,2,FALSE))</f>
        <v/>
      </c>
      <c r="S41" s="106"/>
      <c r="T41" s="111">
        <f t="shared" si="4"/>
        <v>0</v>
      </c>
      <c r="U41" s="114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12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12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54">
        <f t="array" ref="X41">IF(T41=0,0,IF((AND((ROW(T41)=MATCH(TRUE,($T$1:$T$44)&gt;0,0)))),IF(W41&gt;=6,W41-6,0),IF(W41&gt;=2,2,W41)))</f>
        <v>0</v>
      </c>
      <c r="Y41" s="254">
        <f t="array" ref="Y41">IF(T40=0,0,(IF((AND((ROW(T40)=MATCH(TRUE,($T$1:$T$44)&gt;0,0)))),IF(W40&gt;=6,6,W40),IF(W40&gt;=2,W40-2,0))))</f>
        <v>0</v>
      </c>
      <c r="Z41" s="111" t="str">
        <f t="shared" si="1"/>
        <v/>
      </c>
      <c r="AA41" s="214">
        <f>IF(E40="ND",IF(ISERROR(MATCH(D41,Datenblatt!$L$2:$L$18,0)),3,2),IF(E40="ND12,5",IF(ISERROR(MATCH(D41,Datenblatt!$L$2:$L$18,0)),2.5,2),0))</f>
        <v>0</v>
      </c>
      <c r="AB41" s="214">
        <f>IF((IF(E41="ND",14-IF(D41="",0,VLOOKUP(D41,Datenblatt!$L$2:$M$30,2,FALSE)),IF(E41="ND12,5",2,0)))&lt;0,0,(IF(E41="ND",14-IF(D41="",0,VLOOKUP(D41,Datenblatt!$L$2:$M$30,2,FALSE)),IF(E41="ND12,5",2,0))))</f>
        <v>0</v>
      </c>
      <c r="AC41" s="214">
        <f t="shared" si="6"/>
        <v>0</v>
      </c>
      <c r="AD41" s="214">
        <f t="shared" si="7"/>
        <v>0</v>
      </c>
      <c r="AE41" s="214">
        <f t="shared" si="8"/>
        <v>0</v>
      </c>
      <c r="AF41" s="112">
        <f t="shared" si="9"/>
        <v>0</v>
      </c>
      <c r="AG41" s="112">
        <f t="shared" si="10"/>
        <v>0</v>
      </c>
      <c r="AH41" s="112">
        <f>IF(E41="",0,VLOOKUP(E41,Datenblatt!$E$2:$G$28,3,FALSE))</f>
        <v>0</v>
      </c>
    </row>
    <row r="42" spans="1:34" ht="13" customHeight="1">
      <c r="A42" s="89" t="str">
        <f>IF(ISERROR(VLOOKUP(C42,Datenblatt!$C$84:$C$97,1,FALSE)),"","Ft")</f>
        <v/>
      </c>
      <c r="B42" s="84">
        <f t="shared" si="0"/>
        <v>45686</v>
      </c>
      <c r="C42" s="86">
        <f>C41+1</f>
        <v>45686</v>
      </c>
      <c r="D42" s="67"/>
      <c r="E42" s="67"/>
      <c r="F42" s="68"/>
      <c r="G42" s="69"/>
      <c r="H42" s="68"/>
      <c r="I42" s="68"/>
      <c r="J42" s="99"/>
      <c r="K42" s="21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20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10" t="str">
        <f>IF(D42="","",IF(E41="ND",VLOOKUP(D42,Datenblatt!$A$2:$C$31,3,FALSE)-1,IF(E41="ND12,5",VLOOKUP(D42,Datenblatt!$A$2:$C$31,3,FALSE)-0.5,VLOOKUP(D42,Datenblatt!$A$2:$C$31,3,FALSE))))</f>
        <v/>
      </c>
      <c r="N42" s="211" t="str">
        <f t="shared" si="2"/>
        <v/>
      </c>
      <c r="O42" s="211" t="str">
        <f t="shared" si="3"/>
        <v/>
      </c>
      <c r="P42" s="186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103" t="str">
        <f>IF(D42="","",VLOOKUP(D42,Datenblatt!$A$2:$D$31,4,FALSE))</f>
        <v/>
      </c>
      <c r="R42" s="104" t="str">
        <f>IF(E42="","",VLOOKUP(E42,Datenblatt!$E$2:$G$28,2,FALSE))</f>
        <v/>
      </c>
      <c r="S42" s="106"/>
      <c r="T42" s="111">
        <f t="shared" si="4"/>
        <v>0</v>
      </c>
      <c r="U42" s="114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12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12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54">
        <f t="array" ref="X42">IF(T42=0,0,IF((AND((ROW(T42)=MATCH(TRUE,($T$1:$T$44)&gt;0,0)))),IF(W42&gt;=6,W42-6,0),IF(W42&gt;=2,2,W42)))</f>
        <v>0</v>
      </c>
      <c r="Y42" s="254">
        <f t="array" ref="Y42">IF(T41=0,0,(IF((AND((ROW(T41)=MATCH(TRUE,($T$1:$T$44)&gt;0,0)))),IF(W41&gt;=6,6,W41),IF(W41&gt;=2,W41-2,0))))</f>
        <v>0</v>
      </c>
      <c r="Z42" s="111" t="str">
        <f t="shared" si="1"/>
        <v/>
      </c>
      <c r="AA42" s="214">
        <f>IF(E41="ND",IF(ISERROR(MATCH(D42,Datenblatt!$L$2:$L$18,0)),3,2),IF(E41="ND12,5",IF(ISERROR(MATCH(D42,Datenblatt!$L$2:$L$18,0)),2.5,2),0))</f>
        <v>0</v>
      </c>
      <c r="AB42" s="214">
        <f>IF((IF(E42="ND",14-IF(D42="",0,VLOOKUP(D42,Datenblatt!$L$2:$M$30,2,FALSE)),IF(E42="ND12,5",2,0)))&lt;0,0,(IF(E42="ND",14-IF(D42="",0,VLOOKUP(D42,Datenblatt!$L$2:$M$30,2,FALSE)),IF(E42="ND12,5",2,0))))</f>
        <v>0</v>
      </c>
      <c r="AC42" s="214">
        <f t="shared" si="6"/>
        <v>0</v>
      </c>
      <c r="AD42" s="214">
        <f t="shared" si="7"/>
        <v>0</v>
      </c>
      <c r="AE42" s="214">
        <f t="shared" si="8"/>
        <v>0</v>
      </c>
      <c r="AF42" s="112">
        <f t="shared" si="9"/>
        <v>0</v>
      </c>
      <c r="AG42" s="112">
        <f t="shared" si="10"/>
        <v>0</v>
      </c>
      <c r="AH42" s="112">
        <f>IF(E42="",0,VLOOKUP(E42,Datenblatt!$E$2:$G$28,3,FALSE))</f>
        <v>0</v>
      </c>
    </row>
    <row r="43" spans="1:34" ht="13" customHeight="1">
      <c r="A43" s="89" t="str">
        <f>IF(ISERROR(VLOOKUP(C43,Datenblatt!$C$84:$C$97,1,FALSE)),"","Ft")</f>
        <v/>
      </c>
      <c r="B43" s="84">
        <f t="shared" si="0"/>
        <v>45687</v>
      </c>
      <c r="C43" s="87">
        <f>C42+1</f>
        <v>45687</v>
      </c>
      <c r="D43" s="67"/>
      <c r="E43" s="67"/>
      <c r="F43" s="68"/>
      <c r="G43" s="69"/>
      <c r="H43" s="68"/>
      <c r="I43" s="68"/>
      <c r="J43" s="99"/>
      <c r="K43" s="21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209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210" t="str">
        <f>IF(D43="","",IF(E42="ND",VLOOKUP(D43,Datenblatt!$A$2:$C$31,3,FALSE)-1,IF(E42="ND12,5",VLOOKUP(D43,Datenblatt!$A$2:$C$31,3,FALSE)-0.5,VLOOKUP(D43,Datenblatt!$A$2:$C$31,3,FALSE))))</f>
        <v/>
      </c>
      <c r="N43" s="211" t="str">
        <f t="shared" si="2"/>
        <v/>
      </c>
      <c r="O43" s="211" t="str">
        <f t="shared" si="3"/>
        <v/>
      </c>
      <c r="P43" s="186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103" t="str">
        <f>IF(D43="","",VLOOKUP(D43,Datenblatt!$A$2:$D$31,4,FALSE))</f>
        <v/>
      </c>
      <c r="R43" s="104" t="str">
        <f>IF(E43="","",VLOOKUP(E43,Datenblatt!$E$2:$G$28,2,FALSE))</f>
        <v/>
      </c>
      <c r="S43" s="107"/>
      <c r="T43" s="111">
        <f t="shared" si="4"/>
        <v>0</v>
      </c>
      <c r="U43" s="114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12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12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54">
        <f t="array" ref="X43">IF(T43=0,0,IF((AND((ROW(T43)=MATCH(TRUE,($T$1:$T$44)&gt;0,0)))),IF(W43&gt;=6,W43-6,0),IF(W43&gt;=2,2,W43)))</f>
        <v>0</v>
      </c>
      <c r="Y43" s="254">
        <f t="array" ref="Y43">IF(T42=0,0,(IF((AND((ROW(T42)=MATCH(TRUE,($T$1:$T$44)&gt;0,0)))),IF(W42&gt;=6,6,W42),IF(W42&gt;=2,W42-2,0))))</f>
        <v>0</v>
      </c>
      <c r="Z43" s="111" t="str">
        <f t="shared" si="1"/>
        <v/>
      </c>
      <c r="AA43" s="214">
        <f>IF(E42="ND",IF(ISERROR(MATCH(D43,Datenblatt!$L$2:$L$18,0)),3,2),IF(E42="ND12,5",IF(ISERROR(MATCH(D43,Datenblatt!$L$2:$L$18,0)),2.5,2),0))</f>
        <v>0</v>
      </c>
      <c r="AB43" s="214">
        <f>IF((IF(E43="ND",14-IF(D43="",0,VLOOKUP(D43,Datenblatt!$L$2:$M$30,2,FALSE)),IF(E43="ND12,5",2,0)))&lt;0,0,(IF(E43="ND",14-IF(D43="",0,VLOOKUP(D43,Datenblatt!$L$2:$M$30,2,FALSE)),IF(E43="ND12,5",2,0))))</f>
        <v>0</v>
      </c>
      <c r="AC43" s="214">
        <f t="shared" si="6"/>
        <v>0</v>
      </c>
      <c r="AD43" s="214">
        <f t="shared" si="7"/>
        <v>0</v>
      </c>
      <c r="AE43" s="214">
        <f t="shared" si="8"/>
        <v>0</v>
      </c>
      <c r="AF43" s="112">
        <f t="shared" si="9"/>
        <v>0</v>
      </c>
      <c r="AG43" s="112">
        <f t="shared" si="10"/>
        <v>0</v>
      </c>
      <c r="AH43" s="112">
        <f>IF(E43="",0,VLOOKUP(E43,Datenblatt!$E$2:$G$28,3,FALSE))</f>
        <v>0</v>
      </c>
    </row>
    <row r="44" spans="1:34" ht="13" customHeight="1">
      <c r="A44" s="89" t="str">
        <f>IF(ISERROR(VLOOKUP(C44,Datenblatt!$C$84:$C$97,1,FALSE)),"","Ft")</f>
        <v/>
      </c>
      <c r="B44" s="159">
        <f t="shared" si="0"/>
        <v>45688</v>
      </c>
      <c r="C44" s="160">
        <f>C43+1</f>
        <v>45688</v>
      </c>
      <c r="D44" s="67"/>
      <c r="E44" s="67"/>
      <c r="F44" s="68"/>
      <c r="G44" s="69"/>
      <c r="H44" s="68"/>
      <c r="I44" s="68"/>
      <c r="J44" s="99"/>
      <c r="K44" s="212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209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210" t="str">
        <f>IF(D44="","",IF(E43="ND",VLOOKUP(D44,Datenblatt!$A$2:$C$31,3,FALSE)-1,IF(E43="ND12,5",VLOOKUP(D44,Datenblatt!$A$2:$C$31,3,FALSE)-0.5,VLOOKUP(D44,Datenblatt!$A$2:$C$31,3,FALSE)-M45)))</f>
        <v/>
      </c>
      <c r="N44" s="211" t="str">
        <f t="shared" si="2"/>
        <v/>
      </c>
      <c r="O44" s="211" t="str">
        <f t="shared" si="3"/>
        <v/>
      </c>
      <c r="P44" s="186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103" t="str">
        <f>IF(D44="","",VLOOKUP(D44,Datenblatt!$A$2:$D$31,4,FALSE))</f>
        <v/>
      </c>
      <c r="R44" s="104" t="str">
        <f>IF(E44="","",VLOOKUP(E44,Datenblatt!$E$2:$G$28,2,FALSE))</f>
        <v/>
      </c>
      <c r="S44" s="107"/>
      <c r="T44" s="111">
        <f t="shared" si="4"/>
        <v>0</v>
      </c>
      <c r="U44" s="114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12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12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54">
        <f t="array" ref="X44">IF(T44=0,0,IF((AND((ROW(T44)=MATCH(TRUE,($T$1:$T$44)&gt;0,0)))),IF(W44&gt;=0,W44-0,0),IF(W44&gt;=2,2,W44)))</f>
        <v>0</v>
      </c>
      <c r="Y44" s="254">
        <f t="array" ref="Y44">IF(T43=0,0,(IF((AND((ROW(T43)=MATCH(TRUE,($T$1:$T$44)&gt;0,0)))),IF(W43&gt;=6,6,W43),IF(W43&gt;=2,W43-2,0))))</f>
        <v>0</v>
      </c>
      <c r="Z44" s="111" t="str">
        <f t="shared" si="1"/>
        <v/>
      </c>
      <c r="AA44" s="214">
        <f>IF(E43="ND",IF(ISERROR(MATCH(D44,Datenblatt!$L$2:$L$18,0)),3,2),IF(E43="ND12,5",IF(ISERROR(MATCH(D44,Datenblatt!$L$2:$L$18,0)),2.5,2),0))</f>
        <v>0</v>
      </c>
      <c r="AB44" s="214">
        <f>IF((IF(E44="ND",14-IF(D44="",0,VLOOKUP(D44,Datenblatt!$L$2:$M$30,2,FALSE)),IF(E44="ND12,5",2,0)))&lt;0,0,(IF(E44="ND",14-IF(D44="",0,VLOOKUP(D44,Datenblatt!$L$2:$M$30,2,FALSE)),IF(E44="ND12,5",2,0))))</f>
        <v>0</v>
      </c>
      <c r="AC44" s="214">
        <f t="shared" si="6"/>
        <v>0</v>
      </c>
      <c r="AD44" s="214">
        <f t="shared" si="7"/>
        <v>0</v>
      </c>
      <c r="AE44" s="214">
        <f t="shared" si="8"/>
        <v>0</v>
      </c>
      <c r="AF44" s="112">
        <f t="shared" si="9"/>
        <v>0</v>
      </c>
      <c r="AG44" s="112">
        <f t="shared" si="10"/>
        <v>0</v>
      </c>
      <c r="AH44" s="112">
        <f>IF(E44="",0,VLOOKUP(E44,Datenblatt!$E$2:$G$28,3,FALSE))</f>
        <v>0</v>
      </c>
    </row>
    <row r="45" spans="1:34" ht="13" customHeight="1" thickBot="1">
      <c r="A45" s="89" t="str">
        <f>IF(ISERROR(VLOOKUP(C45,Datenblatt!$B$84:$B$97,1,FALSE)),"","Ft")</f>
        <v/>
      </c>
      <c r="B45" s="153"/>
      <c r="C45" s="150"/>
      <c r="D45" s="150"/>
      <c r="E45" s="145"/>
      <c r="F45" s="145"/>
      <c r="G45" s="145"/>
      <c r="H45" s="145"/>
      <c r="I45" s="145"/>
      <c r="J45" s="154">
        <f>SUM(J14:J44)</f>
        <v>0</v>
      </c>
      <c r="K45" s="213">
        <f>SUM(K14:K44)</f>
        <v>0</v>
      </c>
      <c r="L45" s="194" t="str">
        <f>IF(D44="ND",9,IF(D44="ND12,5",8.5,"0"))</f>
        <v>0</v>
      </c>
      <c r="M45" s="194" t="str">
        <f>IF(D44="ND",9,IF(D44="ND12,5",8.5,"0"))</f>
        <v>0</v>
      </c>
      <c r="N45" s="218">
        <f t="shared" ref="N45" si="11">SUM(N14:N44)</f>
        <v>0</v>
      </c>
      <c r="O45" s="218">
        <f>SUM(O14:O44)</f>
        <v>0</v>
      </c>
      <c r="P45" s="197">
        <f>SUM(P14:P44)</f>
        <v>0</v>
      </c>
      <c r="Q45" s="173"/>
      <c r="R45" s="156"/>
      <c r="S45" s="157"/>
      <c r="T45" s="155"/>
      <c r="U45" s="115"/>
      <c r="V45" s="116"/>
      <c r="W45" s="116"/>
      <c r="X45" s="116"/>
      <c r="Y45" s="116"/>
      <c r="Z45" s="155"/>
      <c r="AA45" s="215"/>
      <c r="AB45" s="215"/>
      <c r="AC45" s="215"/>
      <c r="AD45" s="215"/>
      <c r="AE45" s="215"/>
      <c r="AF45" s="118"/>
      <c r="AG45" s="118"/>
    </row>
    <row r="46" spans="1:34" s="80" customFormat="1" ht="0.75" customHeight="1" thickBot="1">
      <c r="A46" s="467"/>
      <c r="B46" s="70"/>
      <c r="C46" s="71"/>
      <c r="D46" s="72"/>
      <c r="E46" s="102"/>
      <c r="F46" s="73"/>
      <c r="G46" s="74"/>
      <c r="H46" s="75"/>
      <c r="I46" s="74"/>
      <c r="J46" s="76"/>
      <c r="K46" s="94"/>
      <c r="L46" s="73"/>
      <c r="M46" s="70"/>
      <c r="N46" s="70"/>
      <c r="O46" s="195"/>
      <c r="P46" s="196"/>
      <c r="Q46" s="202"/>
      <c r="R46" s="70"/>
      <c r="T46" s="117"/>
      <c r="U46" s="117"/>
      <c r="V46" s="117"/>
      <c r="W46" s="117"/>
      <c r="X46" s="117"/>
      <c r="Y46" s="117"/>
      <c r="Z46" s="187"/>
      <c r="AA46" s="216"/>
      <c r="AB46" s="216"/>
      <c r="AC46" s="216"/>
      <c r="AD46" s="216"/>
      <c r="AE46" s="216"/>
      <c r="AF46" s="243"/>
      <c r="AG46" s="243"/>
      <c r="AH46" s="300"/>
    </row>
    <row r="47" spans="1:34" s="66" customFormat="1" ht="13" customHeight="1">
      <c r="A47" s="89"/>
      <c r="B47" s="168" t="s">
        <v>147</v>
      </c>
      <c r="C47" s="168"/>
      <c r="D47" s="59"/>
      <c r="E47" s="59"/>
      <c r="F47" s="56"/>
      <c r="G47" s="56"/>
      <c r="H47" s="56"/>
      <c r="I47" s="251"/>
      <c r="J47" s="251"/>
      <c r="K47" s="251"/>
      <c r="L47" s="542" t="s">
        <v>289</v>
      </c>
      <c r="M47" s="542"/>
      <c r="N47" s="542"/>
      <c r="O47" s="543"/>
      <c r="P47" s="201" t="s">
        <v>146</v>
      </c>
      <c r="Q47" s="395">
        <f>IF($P$47="ja",SUMPRODUCT((WEEKDAY($B$14:$B$44,2)=1)*2),0)</f>
        <v>0</v>
      </c>
      <c r="R47" s="158"/>
      <c r="S47" s="171"/>
      <c r="T47" s="118"/>
      <c r="U47" s="118"/>
      <c r="V47" s="118"/>
      <c r="W47" s="118"/>
      <c r="X47" s="118"/>
      <c r="Y47" s="118"/>
      <c r="Z47" s="188"/>
      <c r="AA47" s="217"/>
      <c r="AB47" s="217"/>
      <c r="AC47" s="217"/>
      <c r="AD47" s="217"/>
      <c r="AE47" s="217"/>
      <c r="AF47" s="118"/>
      <c r="AG47" s="118"/>
      <c r="AH47" s="301"/>
    </row>
    <row r="48" spans="1:34" s="66" customFormat="1" ht="13" customHeight="1">
      <c r="A48" s="89"/>
      <c r="B48" s="191" t="str">
        <f>"Verrechnung von Sonderzahlungen, Überstunden, Nachtgutstunden und Nachtdiensten erfolgt im Folgemonat"&amp;" "&amp;Start!$B$16</f>
        <v>Verrechnung von Sonderzahlungen, Überstunden, Nachtgutstunden und Nachtdiensten erfolgt im Folgemonat Februar</v>
      </c>
      <c r="C48" s="168"/>
      <c r="D48" s="59"/>
      <c r="E48" s="59"/>
      <c r="F48" s="56"/>
      <c r="G48" s="56"/>
      <c r="H48" s="82"/>
      <c r="I48" s="82"/>
      <c r="J48" s="83"/>
      <c r="K48" s="83"/>
      <c r="L48" s="538" t="s">
        <v>290</v>
      </c>
      <c r="M48" s="538"/>
      <c r="N48" s="538"/>
      <c r="O48" s="539"/>
      <c r="P48" s="204" t="s">
        <v>292</v>
      </c>
      <c r="Q48" s="347" t="str">
        <f>IF($P$48="Freizeit","       als Gutstunden abgerechnet","       im Folgemonat ausbezahlt")</f>
        <v xml:space="preserve">       als Gutstunden abgerechnet</v>
      </c>
      <c r="R48" s="203"/>
      <c r="S48" s="192"/>
      <c r="T48" s="118"/>
      <c r="U48" s="118"/>
      <c r="V48" s="118"/>
      <c r="W48" s="118"/>
      <c r="X48" s="118"/>
      <c r="Y48" s="118"/>
      <c r="Z48" s="188"/>
      <c r="AA48" s="217"/>
      <c r="AB48" s="217"/>
      <c r="AC48" s="217"/>
      <c r="AD48" s="217"/>
      <c r="AE48" s="217"/>
      <c r="AF48" s="118"/>
      <c r="AG48" s="118"/>
      <c r="AH48" s="301"/>
    </row>
    <row r="49" spans="1:34" s="66" customFormat="1" ht="13.5" customHeight="1" thickBot="1">
      <c r="A49" s="89"/>
      <c r="B49" s="168"/>
      <c r="C49" s="168"/>
      <c r="D49" s="59"/>
      <c r="E49" s="59"/>
      <c r="F49" s="56"/>
      <c r="G49" s="56"/>
      <c r="H49" s="82"/>
      <c r="I49" s="82"/>
      <c r="J49" s="83"/>
      <c r="K49" s="83"/>
      <c r="L49" s="88"/>
      <c r="M49" s="88"/>
      <c r="N49" s="59"/>
      <c r="O49" s="59"/>
      <c r="P49" s="59"/>
      <c r="S49" s="56"/>
      <c r="T49" s="118"/>
      <c r="U49" s="118"/>
      <c r="V49" s="118"/>
      <c r="W49" s="118"/>
      <c r="X49" s="118"/>
      <c r="Y49" s="118"/>
      <c r="Z49" s="188"/>
      <c r="AA49" s="217"/>
      <c r="AB49" s="217"/>
      <c r="AC49" s="217"/>
      <c r="AD49" s="217"/>
      <c r="AE49" s="217"/>
      <c r="AF49" s="118"/>
      <c r="AG49" s="118"/>
      <c r="AH49" s="301"/>
    </row>
    <row r="50" spans="1:34" s="59" customFormat="1" ht="13" customHeight="1">
      <c r="A50" s="140"/>
      <c r="B50" s="452" t="s">
        <v>248</v>
      </c>
      <c r="C50" s="608" t="s">
        <v>249</v>
      </c>
      <c r="D50" s="608"/>
      <c r="E50" s="453" t="s">
        <v>412</v>
      </c>
      <c r="F50" s="272"/>
      <c r="G50" s="317" t="s">
        <v>83</v>
      </c>
      <c r="H50" s="318"/>
      <c r="I50" s="322"/>
      <c r="J50" s="322"/>
      <c r="K50" s="322"/>
      <c r="L50" s="319">
        <f>$Q$6</f>
        <v>5365.31</v>
      </c>
      <c r="N50" s="612" t="str">
        <f>"Monatsprofil"&amp;" "&amp;Start!$B$27</f>
        <v>Monatsprofil Jänner.</v>
      </c>
      <c r="O50" s="613"/>
      <c r="P50" s="614"/>
      <c r="R50" s="89"/>
      <c r="T50" s="242"/>
      <c r="U50" s="242"/>
      <c r="V50" s="242"/>
      <c r="W50" s="242"/>
      <c r="X50" s="242"/>
      <c r="Y50" s="242"/>
      <c r="Z50" s="188"/>
      <c r="AA50" s="217"/>
      <c r="AB50" s="217"/>
      <c r="AC50" s="217"/>
      <c r="AD50" s="217"/>
      <c r="AE50" s="217"/>
      <c r="AF50" s="242"/>
      <c r="AG50" s="242"/>
      <c r="AH50" s="302"/>
    </row>
    <row r="51" spans="1:34" s="89" customFormat="1" ht="13" customHeight="1">
      <c r="B51" s="355">
        <f>COUNTIF($D$14:$E$44,"U")-COUNTIFS($D$14:$D$44,"U",$E$14:$E$44,"K")-COUNTIFS($D$14:$D$44,"U",$E$14:$E$44,"PK")</f>
        <v>0</v>
      </c>
      <c r="C51" s="454" t="s">
        <v>18</v>
      </c>
      <c r="D51" s="455">
        <f>SUMIFS($P$14:$P$44,$D$14:$D$44,"U")+SUMIFS($P$14:$P$44,$E$14:$E$44,"U")</f>
        <v>0</v>
      </c>
      <c r="E51" s="456"/>
      <c r="F51" s="316"/>
      <c r="G51" s="341" t="s">
        <v>354</v>
      </c>
      <c r="H51" s="342"/>
      <c r="I51" s="343"/>
      <c r="J51" s="343"/>
      <c r="K51" s="343"/>
      <c r="L51" s="344">
        <f>IF(OR(Start!$D$8=Gehalt!$K$37,Start!$D$8=Gehalt!$K$39,Start!$D$8=Gehalt!$K$41),Gehalt!$C$29,0)</f>
        <v>0</v>
      </c>
      <c r="N51" s="615"/>
      <c r="O51" s="616"/>
      <c r="P51" s="617"/>
      <c r="T51" s="278" t="s">
        <v>398</v>
      </c>
      <c r="U51" s="119">
        <f>SUMPRODUCT(($U$14:$U$44)*(ISNUMBER(FIND("Ft",$A$14:$A$44))))+SUMPRODUCT((($U$14:$U$44)*1)*(WEEKDAY($B$14:$B$44,2)=7))-SUMPRODUCT((($U$14:$U$44)*1)*(WEEKDAY($B$14:$B$44,2)=7)*(ISNUMBER(FIND("Ft",$A$14:$A$44))))</f>
        <v>0</v>
      </c>
      <c r="V51" s="119">
        <f>SUMPRODUCT(($V$14:$V$44)*(ISNUMBER(FIND("Ft",$A$14:$A$44))))+SUMPRODUCT((($V$14:$V$44)*1)*(WEEKDAY($B$14:$B$44,2)=7))-SUMPRODUCT((($V$14:$V$44)*1)*(WEEKDAY($B$14:$B$44,2)=7)*(ISNUMBER(FIND("Ft",$A$14:$A$44))))</f>
        <v>0</v>
      </c>
      <c r="W51" s="119">
        <f>SUM($W$14:$W$44)</f>
        <v>0</v>
      </c>
      <c r="X51" s="255"/>
      <c r="Y51" s="256"/>
      <c r="Z51" s="278" t="s">
        <v>398</v>
      </c>
      <c r="AA51" s="214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14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14">
        <f>SUM($AC$14:$AC$44)</f>
        <v>0</v>
      </c>
      <c r="AD51" s="214">
        <f>SUM($AD$14:$AD$44)</f>
        <v>0</v>
      </c>
      <c r="AE51" s="217"/>
      <c r="AF51" s="188"/>
      <c r="AG51" s="278" t="s">
        <v>398</v>
      </c>
      <c r="AH51" s="214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1:34" s="89" customFormat="1" ht="13" customHeight="1">
      <c r="B52" s="355">
        <f>COUNTIF($D$14:$E$44,"ZA")-COUNTIFS($D$14:$D$44,"ZA",$E$14:$E$44,"K")-COUNTIFS($D$14:$D$44,"ZA",$E$14:$E$44,"PK")</f>
        <v>0</v>
      </c>
      <c r="C52" s="454" t="s">
        <v>21</v>
      </c>
      <c r="D52" s="457">
        <f>SUMIFS($P$14:$P$44,$D$14:$D$44,"ZA")+SUMIFS($P$14:$P$44,$E$14:$E$44,"ZA")-$J$45</f>
        <v>0</v>
      </c>
      <c r="E52" s="458">
        <f>IF($P$48="Freizeit",SUM($N$45*1.5,$O$45*2),0)+$J$54*1.5</f>
        <v>0</v>
      </c>
      <c r="F52" s="272"/>
      <c r="G52" s="323" t="str">
        <f>"9545 Nachtdienstpauschale Gesamt ("&amp;""&amp;Gehalt!$O$25&amp;""&amp;"€/h)"</f>
        <v>9545 Nachtdienstpauschale Gesamt (29,44€/h)</v>
      </c>
      <c r="H52" s="151"/>
      <c r="I52" s="151"/>
      <c r="J52" s="151"/>
      <c r="K52" s="264">
        <f>SUM($AF$14:$AG$44)</f>
        <v>0</v>
      </c>
      <c r="L52" s="226">
        <f>$K$52*Gehalt!$O$25</f>
        <v>0</v>
      </c>
      <c r="N52" s="540" t="s">
        <v>237</v>
      </c>
      <c r="O52" s="541"/>
      <c r="P52" s="352">
        <f>VLOOKUP($B$8,Datenblatt!$A$100:$I$112,2,FALSE)</f>
        <v>31</v>
      </c>
      <c r="T52" s="279" t="s">
        <v>104</v>
      </c>
      <c r="U52" s="269">
        <f>SUM($U$14:$U$44)-$U$51</f>
        <v>0</v>
      </c>
      <c r="V52" s="269">
        <f>SUM($V$14:$V$44)-$V$51</f>
        <v>0</v>
      </c>
      <c r="W52" s="257"/>
      <c r="X52" s="265"/>
      <c r="Y52" s="256"/>
      <c r="Z52" s="280" t="s">
        <v>104</v>
      </c>
      <c r="AA52" s="214">
        <f>SUM($AA$14:$AA$44)-$AA$51</f>
        <v>0</v>
      </c>
      <c r="AB52" s="214">
        <f>SUM($AB$14:$AB$44)-$AB$51</f>
        <v>0</v>
      </c>
      <c r="AC52" s="260"/>
      <c r="AD52" s="261"/>
      <c r="AE52" s="217"/>
      <c r="AF52" s="188"/>
      <c r="AG52" s="280" t="s">
        <v>104</v>
      </c>
      <c r="AH52" s="214">
        <f>SUM($AH$14:$AH$44)-$AH$51</f>
        <v>0</v>
      </c>
    </row>
    <row r="53" spans="1:34" s="89" customFormat="1" ht="13" customHeight="1">
      <c r="B53" s="355">
        <f>COUNTIF($D$14:$E$44,"RG")-COUNTIFS($D$14:$D$44,"U",$E$14:$E$44,"RG")-COUNTIFS($D$14:$D$44,"RG",$E$14:$E$44,"PK")</f>
        <v>0</v>
      </c>
      <c r="C53" s="359" t="s">
        <v>132</v>
      </c>
      <c r="D53" s="455">
        <f>SUMIFS($P$14:$P$44,$D$14:$D$44,"RG")+SUMIFS($P$14:$P$44,$E$14:$E$44,"RG")</f>
        <v>0</v>
      </c>
      <c r="E53" s="459">
        <f>$Q$47</f>
        <v>0</v>
      </c>
      <c r="G53" s="323" t="str">
        <f>"9547 Sonn- und Feiertagszulage ("&amp;""&amp;Gehalt!$O$26&amp;""&amp;"€/h)"</f>
        <v>9547 Sonn- und Feiertagszulage (18,5€/h)</v>
      </c>
      <c r="H53" s="151"/>
      <c r="I53" s="151"/>
      <c r="J53" s="151"/>
      <c r="K53" s="22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26">
        <f>$K$53*Gehalt!$O$26</f>
        <v>0</v>
      </c>
      <c r="N53" s="540" t="s">
        <v>238</v>
      </c>
      <c r="O53" s="541"/>
      <c r="P53" s="352">
        <f>VLOOKUP($B$8,Datenblatt!$A$100:$I$112,3,FALSE)</f>
        <v>2</v>
      </c>
      <c r="T53" s="277" t="s">
        <v>399</v>
      </c>
      <c r="U53" s="112">
        <f>SUMPRODUCT(($U$14:$U$44)*(ISNUMBER(FIND("Ft",$A$14:$A$44))))+SUMPRODUCT((($U$14:$U$44)*1)*(WEEKDAY($B$14:$B$44,2)=7))-SUMPRODUCT((($U$14:$U$44)*1)*(WEEKDAY($B$14:$B$44,2)=7)*(ISNUMBER(FIND("Ft",$A$14:$A$44))))</f>
        <v>0</v>
      </c>
      <c r="V53" s="112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270"/>
      <c r="X53" s="112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12">
        <f>SUMPRODUCT(($Y$14:$Y$44)*(ISNUMBER(FIND("Ft",$A$14:$A$44))))+SUMPRODUCT((($Y$14:$Y$44)*1)*(WEEKDAY($B$14:$B$44,2)=7))-SUMPRODUCT((($Y$14:$Y$44)*1)*(WEEKDAY($B$14:$B$44,2)=7)*(ISNUMBER(FIND("Ft",$A$14:$A$44))))</f>
        <v>0</v>
      </c>
      <c r="Z53" s="258"/>
      <c r="AA53" s="258"/>
      <c r="AB53" s="258"/>
      <c r="AC53" s="259"/>
      <c r="AD53" s="259"/>
      <c r="AE53" s="188"/>
      <c r="AF53" s="188"/>
      <c r="AG53" s="188"/>
      <c r="AH53" s="302"/>
    </row>
    <row r="54" spans="1:34" s="89" customFormat="1" ht="13" customHeight="1">
      <c r="B54" s="355">
        <f>COUNTIF($D$14:$E$44,"NDG")-COUNTIFS($D$14:$D$44,"NDG",$E$14:$E$44,"K")-COUNTIFS($D$14:$D$44,"NDG",$E$14:$E$44,"PK")</f>
        <v>0</v>
      </c>
      <c r="C54" s="359" t="s">
        <v>131</v>
      </c>
      <c r="D54" s="455">
        <f>SUMIFS($P$14:$P$44,$D$14:$D$44,"NDG")+SUMIFS($P$14:$P$44,$E$14:$E$44,"NDG")</f>
        <v>0</v>
      </c>
      <c r="E54" s="459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609" t="s">
        <v>295</v>
      </c>
      <c r="H54" s="610"/>
      <c r="I54" s="611"/>
      <c r="J54" s="390">
        <v>0</v>
      </c>
      <c r="K54" s="225">
        <f>IF($P$48="finanziell",SUM($L$62),0)+$L$66+$L$70-$J$54</f>
        <v>0</v>
      </c>
      <c r="L54" s="226">
        <f>$K$54*$L$60</f>
        <v>0</v>
      </c>
      <c r="M54" s="56"/>
      <c r="N54" s="540" t="s">
        <v>239</v>
      </c>
      <c r="O54" s="541"/>
      <c r="P54" s="352">
        <f>VLOOKUP($B$8,Datenblatt!$A$100:$I$112,4,FALSE)</f>
        <v>8</v>
      </c>
      <c r="Q54" s="56"/>
      <c r="T54" s="242"/>
      <c r="U54" s="242"/>
      <c r="V54" s="242"/>
      <c r="W54" s="188"/>
      <c r="X54" s="188"/>
      <c r="Y54" s="188"/>
      <c r="Z54" s="242"/>
      <c r="AA54" s="242"/>
      <c r="AB54" s="242"/>
      <c r="AC54" s="188"/>
      <c r="AD54" s="188"/>
      <c r="AE54" s="188"/>
      <c r="AF54" s="188"/>
      <c r="AG54" s="188"/>
      <c r="AH54" s="302"/>
    </row>
    <row r="55" spans="1:34" s="89" customFormat="1" ht="13" customHeight="1">
      <c r="B55" s="460"/>
      <c r="C55" s="359" t="s">
        <v>170</v>
      </c>
      <c r="D55" s="455">
        <f>SUMIFS($M$14:$M$44,$D$14:$D$44,"U")</f>
        <v>0</v>
      </c>
      <c r="E55" s="456"/>
      <c r="G55" s="323" t="s">
        <v>227</v>
      </c>
      <c r="H55" s="151"/>
      <c r="I55" s="151"/>
      <c r="J55" s="151"/>
      <c r="K55" s="225">
        <f>IF($P$48="finanziell",SUM($L$63),0)+$L$71+$L$67</f>
        <v>0</v>
      </c>
      <c r="L55" s="226">
        <f>$K$55*$L$61</f>
        <v>0</v>
      </c>
      <c r="M55" s="59"/>
      <c r="N55" s="540" t="s">
        <v>240</v>
      </c>
      <c r="O55" s="541"/>
      <c r="P55" s="352">
        <f>VLOOKUP($B$8,Datenblatt!$A$100:$I$112,5,FALSE)</f>
        <v>21</v>
      </c>
      <c r="T55" s="242"/>
      <c r="U55" s="242"/>
      <c r="V55" s="242"/>
      <c r="W55" s="188"/>
      <c r="X55" s="188"/>
      <c r="Y55" s="188"/>
      <c r="Z55" s="242"/>
      <c r="AA55" s="242"/>
      <c r="AB55" s="242"/>
      <c r="AC55" s="188"/>
      <c r="AD55" s="188"/>
      <c r="AE55" s="188"/>
      <c r="AF55" s="188"/>
      <c r="AG55" s="188"/>
      <c r="AH55" s="302"/>
    </row>
    <row r="56" spans="1:34" s="89" customFormat="1" ht="13" customHeight="1">
      <c r="B56" s="355">
        <f>COUNTIF($D$14:$E$44,"SU")-COUNTIFS($D$14:$D$44,"SU",$E$14:$E$44,"K")-COUNTIFS($D$14:$D$44,"SU",$E$14:$E$44,"PK")</f>
        <v>0</v>
      </c>
      <c r="C56" s="359" t="s">
        <v>172</v>
      </c>
      <c r="D56" s="455">
        <f>SUMIFS($M$14:$M$44,$D$14:$D$44,"SU")</f>
        <v>0</v>
      </c>
      <c r="E56" s="456"/>
      <c r="G56" s="323" t="s">
        <v>285</v>
      </c>
      <c r="H56" s="151"/>
      <c r="I56" s="151"/>
      <c r="J56" s="151"/>
      <c r="K56" s="394">
        <f ca="1">IF(Dezember!$P$63-SUM(Start!$E$22:$E$27)*2&lt;=0,0,Dezember!$P$63-SUM(Start!$E$22:$E$27)*2)</f>
        <v>0</v>
      </c>
      <c r="L56" s="226">
        <f ca="1">$K$56*(ROUNDDOWN((($Q$6-35)/173*1),2))</f>
        <v>0</v>
      </c>
      <c r="N56" s="540" t="s">
        <v>241</v>
      </c>
      <c r="O56" s="541"/>
      <c r="P56" s="352">
        <f>VLOOKUP($B$8,Datenblatt!$A$100:$I$112,7,FALSE)</f>
        <v>23</v>
      </c>
      <c r="T56" s="242"/>
      <c r="U56" s="242"/>
      <c r="V56" s="242"/>
      <c r="W56" s="188"/>
      <c r="X56" s="188"/>
      <c r="Y56" s="188"/>
      <c r="Z56" s="242"/>
      <c r="AA56" s="242"/>
      <c r="AB56" s="242"/>
      <c r="AC56" s="188"/>
      <c r="AD56" s="188"/>
      <c r="AE56" s="188"/>
      <c r="AF56" s="188"/>
      <c r="AG56" s="188"/>
      <c r="AH56" s="302"/>
    </row>
    <row r="57" spans="1:34" s="89" customFormat="1" ht="13" customHeight="1">
      <c r="B57" s="355">
        <f>COUNTIF($D$14:$E$44,"PK")</f>
        <v>0</v>
      </c>
      <c r="C57" s="359" t="s">
        <v>171</v>
      </c>
      <c r="D57" s="455">
        <f>SUMIFS($M$14:$M$44,$D$14:$D$44,"PK")</f>
        <v>0</v>
      </c>
      <c r="E57" s="456"/>
      <c r="G57" s="391" t="s">
        <v>297</v>
      </c>
      <c r="H57" s="392"/>
      <c r="I57" s="392"/>
      <c r="J57" s="151"/>
      <c r="K57" s="225">
        <f>IF(OR(Start!$D$8=Gehalt!$K$37,Start!$D$8=Gehalt!$K$39,Start!$D$8=Gehalt!$K$41),SUMIFS($M$14:$M$44,$Q$14:$Q$44,"=Tagdienst*",$E$14:$E$44,"&lt;&gt;*")+SUMIFS($AH$14:$AH$44,$R$14:$R$44,"=Tagdienst*"),0)</f>
        <v>0</v>
      </c>
      <c r="L57" s="226">
        <f>$K$57*Gehalt!$C$28</f>
        <v>0</v>
      </c>
      <c r="N57" s="540" t="s">
        <v>236</v>
      </c>
      <c r="O57" s="541"/>
      <c r="P57" s="352">
        <f>VLOOKUP($B$8,Datenblatt!$A$100:$I$112,6,FALSE)</f>
        <v>168</v>
      </c>
      <c r="T57" s="242"/>
      <c r="U57" s="242"/>
      <c r="V57" s="242"/>
      <c r="W57" s="188"/>
      <c r="X57" s="188"/>
      <c r="Y57" s="188"/>
      <c r="Z57" s="242"/>
      <c r="AA57" s="242"/>
      <c r="AB57" s="242"/>
      <c r="AC57" s="188"/>
      <c r="AD57" s="188"/>
      <c r="AE57" s="188"/>
      <c r="AF57" s="188"/>
      <c r="AG57" s="188"/>
      <c r="AH57" s="302"/>
    </row>
    <row r="58" spans="1:34" s="89" customFormat="1" ht="13" customHeight="1">
      <c r="B58" s="355">
        <f>COUNTIF($D$14:$E$44,"K")+COUNTIF($D$14:$E$44,"KA")</f>
        <v>0</v>
      </c>
      <c r="C58" s="359" t="s">
        <v>418</v>
      </c>
      <c r="D58" s="455">
        <f>SUMIFS($M$14:$M$44,$D$14:$D$44,"K")+SUMIFS($M$14:$M$44,$D$14:$D$44,"KA")</f>
        <v>0</v>
      </c>
      <c r="E58" s="456"/>
      <c r="G58" s="323" t="s">
        <v>296</v>
      </c>
      <c r="H58" s="151"/>
      <c r="I58" s="151"/>
      <c r="J58" s="393" t="s">
        <v>146</v>
      </c>
      <c r="K58" s="225"/>
      <c r="L58" s="226">
        <f>IF($J$58="ja",Gehalt!$C$27,0)</f>
        <v>0</v>
      </c>
      <c r="N58" s="618" t="str">
        <f>"Stundenkonto Monatsende"&amp;" "&amp;Start!$B$27</f>
        <v>Stundenkonto Monatsende Jänner.</v>
      </c>
      <c r="O58" s="619"/>
      <c r="P58" s="620"/>
      <c r="S58" s="59"/>
      <c r="T58" s="242"/>
      <c r="U58" s="242"/>
      <c r="V58" s="242"/>
      <c r="W58" s="188"/>
      <c r="X58" s="188"/>
      <c r="Y58" s="188"/>
      <c r="Z58" s="242"/>
      <c r="AA58" s="242"/>
      <c r="AB58" s="242"/>
      <c r="AC58" s="188"/>
      <c r="AD58" s="188"/>
      <c r="AE58" s="188"/>
      <c r="AF58" s="188"/>
      <c r="AG58" s="188"/>
      <c r="AH58" s="302"/>
    </row>
    <row r="59" spans="1:34" s="89" customFormat="1" ht="13" customHeight="1" thickBot="1">
      <c r="B59" s="460"/>
      <c r="C59" s="359" t="s">
        <v>19</v>
      </c>
      <c r="D59" s="455">
        <f>COUNTIF($L$14:$L$44,"n.b.")</f>
        <v>0</v>
      </c>
      <c r="E59" s="456"/>
      <c r="G59" s="229" t="s">
        <v>362</v>
      </c>
      <c r="H59" s="230"/>
      <c r="I59" s="230"/>
      <c r="J59" s="230"/>
      <c r="K59" s="338"/>
      <c r="L59" s="228">
        <f ca="1">SUM(L52:L57)*12%</f>
        <v>0</v>
      </c>
      <c r="N59" s="615"/>
      <c r="O59" s="616"/>
      <c r="P59" s="617"/>
      <c r="S59" s="59"/>
      <c r="T59" s="242"/>
      <c r="U59" s="188"/>
      <c r="V59" s="188"/>
      <c r="W59" s="188"/>
      <c r="X59" s="188"/>
      <c r="Y59" s="188"/>
      <c r="Z59" s="242"/>
      <c r="AA59" s="188"/>
      <c r="AB59" s="188"/>
      <c r="AC59" s="188"/>
      <c r="AD59" s="188"/>
      <c r="AE59" s="188"/>
      <c r="AF59" s="188"/>
      <c r="AG59" s="188"/>
      <c r="AH59" s="302"/>
    </row>
    <row r="60" spans="1:34" s="89" customFormat="1" ht="13" customHeight="1">
      <c r="B60" s="355">
        <f>COUNTIF($D$14:$E$44,"DV")</f>
        <v>0</v>
      </c>
      <c r="C60" s="359" t="s">
        <v>111</v>
      </c>
      <c r="D60" s="455">
        <f>SUMIFS($P$14:$P$44,$D$14:$D$44,"DV")+SUMIFS($P$14:$P$44,$E$14:$E$44,"DV")</f>
        <v>0</v>
      </c>
      <c r="E60" s="456"/>
      <c r="G60" s="238" t="s">
        <v>298</v>
      </c>
      <c r="H60" s="239"/>
      <c r="I60" s="240"/>
      <c r="J60" s="240"/>
      <c r="K60" s="240"/>
      <c r="L60" s="241">
        <f>IF($Q$6="",0,ROUNDDOWN((($Q$6-35)/173*1.5),2))</f>
        <v>46.21</v>
      </c>
      <c r="N60" s="540" t="s">
        <v>234</v>
      </c>
      <c r="O60" s="541"/>
      <c r="P60" s="352">
        <f>Start!$C$30+SUM(Jänner:Jänner.!$D$51)+P65</f>
        <v>0</v>
      </c>
      <c r="S60" s="59"/>
      <c r="T60" s="244"/>
      <c r="U60" s="188"/>
      <c r="V60" s="188"/>
      <c r="W60" s="188"/>
      <c r="X60" s="188"/>
      <c r="Y60" s="188"/>
      <c r="Z60" s="244"/>
      <c r="AA60" s="188"/>
      <c r="AB60" s="188"/>
      <c r="AC60" s="188"/>
      <c r="AD60" s="188"/>
      <c r="AE60" s="188"/>
      <c r="AF60" s="188"/>
      <c r="AG60" s="188"/>
      <c r="AH60" s="302"/>
    </row>
    <row r="61" spans="1:34" s="89" customFormat="1" ht="13" customHeight="1">
      <c r="B61" s="355">
        <f>COUNTIF($D$14:$E$44,"WR")</f>
        <v>0</v>
      </c>
      <c r="C61" s="359" t="s">
        <v>126</v>
      </c>
      <c r="D61" s="466"/>
      <c r="E61" s="456"/>
      <c r="G61" s="360" t="s">
        <v>400</v>
      </c>
      <c r="H61" s="358"/>
      <c r="I61" s="357"/>
      <c r="J61" s="357"/>
      <c r="K61" s="357"/>
      <c r="L61" s="356">
        <f>IF($Q$6="",0,ROUNDDOWN((($Q$6-35)/173*2),2))</f>
        <v>61.62</v>
      </c>
      <c r="N61" s="540" t="s">
        <v>235</v>
      </c>
      <c r="O61" s="541"/>
      <c r="P61" s="353">
        <f>Start!$C$31+SUM(Jänner:Jänner.!$D$52)+SUM(Jänner:Jänner.!$E$52)</f>
        <v>0</v>
      </c>
      <c r="S61" s="59"/>
      <c r="T61" s="244"/>
      <c r="U61" s="188"/>
      <c r="V61" s="188"/>
      <c r="W61" s="188"/>
      <c r="X61" s="188"/>
      <c r="Y61" s="188"/>
      <c r="Z61" s="244"/>
      <c r="AA61" s="188"/>
      <c r="AB61" s="188"/>
      <c r="AC61" s="188"/>
      <c r="AD61" s="188"/>
      <c r="AE61" s="188"/>
      <c r="AF61" s="188"/>
      <c r="AG61" s="188"/>
      <c r="AH61" s="302"/>
    </row>
    <row r="62" spans="1:34" s="59" customFormat="1" ht="13" customHeight="1">
      <c r="A62" s="140"/>
      <c r="B62" s="478"/>
      <c r="C62" s="478"/>
      <c r="D62" s="478"/>
      <c r="E62" s="478"/>
      <c r="G62" s="374" t="s">
        <v>392</v>
      </c>
      <c r="H62" s="375"/>
      <c r="I62" s="125"/>
      <c r="J62" s="125"/>
      <c r="K62" s="125"/>
      <c r="L62" s="376">
        <f>SUM($N$14:$N$44)</f>
        <v>0</v>
      </c>
      <c r="M62" s="89"/>
      <c r="N62" s="540" t="s">
        <v>148</v>
      </c>
      <c r="O62" s="541"/>
      <c r="P62" s="352">
        <f>Start!$C$32+SUM(Jänner:Jänner.!$D$53)+SUM(Jänner:Jänner.!$E$53)</f>
        <v>0</v>
      </c>
      <c r="Q62" s="89"/>
      <c r="R62" s="89"/>
      <c r="T62" s="244"/>
      <c r="U62" s="242"/>
      <c r="V62" s="242"/>
      <c r="W62" s="242"/>
      <c r="X62" s="242"/>
      <c r="Y62" s="242"/>
      <c r="Z62" s="244"/>
      <c r="AA62" s="242"/>
      <c r="AB62" s="242"/>
      <c r="AC62" s="242"/>
      <c r="AD62" s="242"/>
      <c r="AE62" s="242"/>
      <c r="AF62" s="242"/>
      <c r="AG62" s="242"/>
      <c r="AH62" s="302"/>
    </row>
    <row r="63" spans="1:34" s="59" customFormat="1" ht="13" customHeight="1">
      <c r="A63" s="140"/>
      <c r="G63" s="374" t="s">
        <v>102</v>
      </c>
      <c r="H63" s="375"/>
      <c r="I63" s="125"/>
      <c r="J63" s="125"/>
      <c r="K63" s="125"/>
      <c r="L63" s="376">
        <f>SUM($O$14:$O$44)</f>
        <v>0</v>
      </c>
      <c r="M63" s="89"/>
      <c r="N63" s="544" t="s">
        <v>166</v>
      </c>
      <c r="O63" s="545"/>
      <c r="P63" s="354">
        <f ca="1">Start!$C$33+SUM(Jänner:Jänner.!$D$54)+SUM(Jänner:Jänner.!$E$54)-SUM(Jänner:Jänner.!$K$56)</f>
        <v>0</v>
      </c>
      <c r="Q63" s="89"/>
      <c r="T63" s="244"/>
      <c r="U63" s="242"/>
      <c r="V63" s="242"/>
      <c r="W63" s="242"/>
      <c r="X63" s="242"/>
      <c r="Y63" s="242"/>
      <c r="Z63" s="244"/>
      <c r="AA63" s="242"/>
      <c r="AB63" s="242"/>
      <c r="AC63" s="242"/>
      <c r="AD63" s="242"/>
      <c r="AE63" s="242"/>
      <c r="AF63" s="242"/>
      <c r="AG63" s="242"/>
      <c r="AH63" s="302"/>
    </row>
    <row r="64" spans="1:34" s="59" customFormat="1" ht="13" customHeight="1">
      <c r="A64" s="140"/>
      <c r="E64" s="140"/>
      <c r="G64" s="374" t="s">
        <v>98</v>
      </c>
      <c r="H64" s="375"/>
      <c r="I64" s="125"/>
      <c r="J64" s="125"/>
      <c r="K64" s="125"/>
      <c r="L64" s="377">
        <f>$L$62*$L$60</f>
        <v>0</v>
      </c>
      <c r="M64" s="89"/>
      <c r="Q64" s="89"/>
      <c r="T64" s="244"/>
      <c r="U64" s="242"/>
      <c r="V64" s="242"/>
      <c r="W64" s="242"/>
      <c r="X64" s="242"/>
      <c r="Y64" s="242"/>
      <c r="Z64" s="244"/>
      <c r="AA64" s="242"/>
      <c r="AB64" s="242"/>
      <c r="AC64" s="242"/>
      <c r="AD64" s="242"/>
      <c r="AE64" s="242"/>
      <c r="AF64" s="242"/>
      <c r="AG64" s="242"/>
      <c r="AH64" s="302"/>
    </row>
    <row r="65" spans="1:34" s="59" customFormat="1" ht="13" customHeight="1">
      <c r="A65" s="140"/>
      <c r="E65" s="140"/>
      <c r="G65" s="267" t="s">
        <v>99</v>
      </c>
      <c r="H65" s="268"/>
      <c r="I65" s="378"/>
      <c r="J65" s="378"/>
      <c r="K65" s="378"/>
      <c r="L65" s="379">
        <f>$L$63*$L$61</f>
        <v>0</v>
      </c>
      <c r="M65" s="89"/>
      <c r="N65" s="635" t="s">
        <v>360</v>
      </c>
      <c r="O65" s="635"/>
      <c r="P65" s="421"/>
      <c r="Q65" s="89"/>
      <c r="T65" s="244"/>
      <c r="U65" s="242"/>
      <c r="V65" s="242"/>
      <c r="W65" s="242"/>
      <c r="X65" s="242"/>
      <c r="Y65" s="242"/>
      <c r="Z65" s="244"/>
      <c r="AA65" s="242"/>
      <c r="AB65" s="242"/>
      <c r="AC65" s="242"/>
      <c r="AD65" s="242"/>
      <c r="AE65" s="242"/>
      <c r="AF65" s="242"/>
      <c r="AG65" s="242"/>
      <c r="AH65" s="302"/>
    </row>
    <row r="66" spans="1:34" s="59" customFormat="1" ht="13" customHeight="1">
      <c r="A66" s="140"/>
      <c r="E66" s="140"/>
      <c r="G66" s="380" t="s">
        <v>228</v>
      </c>
      <c r="H66" s="381"/>
      <c r="I66" s="382"/>
      <c r="J66" s="382"/>
      <c r="K66" s="382"/>
      <c r="L66" s="376">
        <f>SUM($U$52:$V$52)+$AH$52</f>
        <v>0</v>
      </c>
      <c r="T66" s="244"/>
      <c r="U66" s="242"/>
      <c r="V66" s="242"/>
      <c r="W66" s="242"/>
      <c r="X66" s="242"/>
      <c r="Y66" s="242"/>
      <c r="Z66" s="244"/>
      <c r="AA66" s="242"/>
      <c r="AB66" s="242"/>
      <c r="AC66" s="242"/>
      <c r="AD66" s="242"/>
      <c r="AE66" s="242"/>
      <c r="AF66" s="242"/>
      <c r="AG66" s="242"/>
      <c r="AH66" s="302"/>
    </row>
    <row r="67" spans="1:34" s="59" customFormat="1" ht="13" customHeight="1">
      <c r="A67" s="140"/>
      <c r="D67" s="140"/>
      <c r="E67" s="140"/>
      <c r="G67" s="380" t="s">
        <v>103</v>
      </c>
      <c r="H67" s="381"/>
      <c r="I67" s="382"/>
      <c r="J67" s="382"/>
      <c r="K67" s="382"/>
      <c r="L67" s="376">
        <f>SUM($U$51:$W$51)+$AH$51</f>
        <v>0</v>
      </c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42"/>
      <c r="AG67" s="242"/>
      <c r="AH67" s="302"/>
    </row>
    <row r="68" spans="1:34" s="59" customFormat="1" ht="13" customHeight="1">
      <c r="A68" s="140"/>
      <c r="D68" s="140"/>
      <c r="E68" s="140"/>
      <c r="G68" s="121" t="s">
        <v>100</v>
      </c>
      <c r="H68" s="122"/>
      <c r="I68" s="125"/>
      <c r="J68" s="125"/>
      <c r="K68" s="125"/>
      <c r="L68" s="377">
        <f>$L$66*$L$60</f>
        <v>0</v>
      </c>
      <c r="T68" s="242"/>
      <c r="U68" s="242"/>
      <c r="V68" s="242"/>
      <c r="W68" s="242"/>
      <c r="X68" s="242"/>
      <c r="Y68" s="242"/>
      <c r="Z68" s="242"/>
      <c r="AA68" s="242"/>
      <c r="AB68" s="242"/>
      <c r="AC68" s="242"/>
      <c r="AD68" s="242"/>
      <c r="AE68" s="242"/>
      <c r="AF68" s="242"/>
      <c r="AG68" s="242"/>
      <c r="AH68" s="302"/>
    </row>
    <row r="69" spans="1:34" s="59" customFormat="1" ht="13" customHeight="1">
      <c r="A69" s="140"/>
      <c r="D69" s="140"/>
      <c r="E69" s="140"/>
      <c r="G69" s="383" t="s">
        <v>101</v>
      </c>
      <c r="H69" s="384"/>
      <c r="I69" s="378"/>
      <c r="J69" s="378"/>
      <c r="K69" s="378"/>
      <c r="L69" s="379">
        <f>$L$67*$L$61</f>
        <v>0</v>
      </c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302"/>
    </row>
    <row r="70" spans="1:34" s="59" customFormat="1" ht="13" customHeight="1">
      <c r="A70" s="140"/>
      <c r="D70" s="140"/>
      <c r="E70" s="140"/>
      <c r="G70" s="374" t="s">
        <v>393</v>
      </c>
      <c r="H70" s="375"/>
      <c r="I70" s="125"/>
      <c r="J70" s="125"/>
      <c r="K70" s="125"/>
      <c r="L70" s="376">
        <f>SUM($AA$52:$AB$52)</f>
        <v>0</v>
      </c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302"/>
    </row>
    <row r="71" spans="1:34" s="59" customFormat="1" ht="13" customHeight="1">
      <c r="A71" s="140"/>
      <c r="D71" s="140"/>
      <c r="E71" s="140"/>
      <c r="G71" s="374" t="s">
        <v>356</v>
      </c>
      <c r="H71" s="375"/>
      <c r="I71" s="125"/>
      <c r="J71" s="125"/>
      <c r="K71" s="125"/>
      <c r="L71" s="376">
        <f>SUM($AA$51:$AD$51)</f>
        <v>0</v>
      </c>
      <c r="R71" s="89"/>
      <c r="T71" s="242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302"/>
    </row>
    <row r="72" spans="1:34" s="59" customFormat="1" ht="13" customHeight="1">
      <c r="A72" s="140"/>
      <c r="D72" s="140"/>
      <c r="E72" s="140"/>
      <c r="G72" s="374" t="s">
        <v>98</v>
      </c>
      <c r="H72" s="375"/>
      <c r="I72" s="125"/>
      <c r="J72" s="125"/>
      <c r="K72" s="125"/>
      <c r="L72" s="377">
        <f>$L$70*$L$60</f>
        <v>0</v>
      </c>
      <c r="R72" s="89"/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302"/>
    </row>
    <row r="73" spans="1:34" s="59" customFormat="1" ht="13" customHeight="1">
      <c r="A73" s="140"/>
      <c r="D73" s="140"/>
      <c r="E73" s="315"/>
      <c r="G73" s="267" t="s">
        <v>99</v>
      </c>
      <c r="H73" s="268"/>
      <c r="I73" s="378"/>
      <c r="J73" s="378"/>
      <c r="K73" s="378"/>
      <c r="L73" s="379">
        <f>$L$71*$L$61</f>
        <v>0</v>
      </c>
      <c r="R73" s="89"/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302"/>
    </row>
    <row r="74" spans="1:34" s="59" customFormat="1" ht="13" customHeight="1">
      <c r="A74" s="140"/>
      <c r="D74" s="140"/>
      <c r="G74" s="385" t="s">
        <v>288</v>
      </c>
      <c r="H74" s="386"/>
      <c r="I74" s="161"/>
      <c r="J74" s="161"/>
      <c r="K74" s="161"/>
      <c r="L74" s="387">
        <f>VLOOKUP($B$8,Datenblatt!$A$100:$F$112,6,FALSE)-SUM($D$55:$D$58)</f>
        <v>168</v>
      </c>
      <c r="R74" s="89"/>
      <c r="T74" s="242"/>
      <c r="U74" s="242"/>
      <c r="V74" s="242"/>
      <c r="W74" s="242"/>
      <c r="X74" s="242"/>
      <c r="Y74" s="242"/>
      <c r="Z74" s="242"/>
      <c r="AA74" s="242"/>
      <c r="AB74" s="242"/>
      <c r="AC74" s="242"/>
      <c r="AD74" s="242"/>
      <c r="AE74" s="242"/>
      <c r="AF74" s="242"/>
      <c r="AG74" s="242"/>
      <c r="AH74" s="302"/>
    </row>
    <row r="75" spans="1:34" s="59" customFormat="1" ht="13" customHeight="1">
      <c r="A75" s="140"/>
      <c r="D75" s="140"/>
      <c r="R75" s="89"/>
      <c r="T75" s="242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242"/>
      <c r="AF75" s="242"/>
      <c r="AG75" s="242"/>
      <c r="AH75" s="302"/>
    </row>
    <row r="76" spans="1:34" s="59" customFormat="1" ht="13" customHeight="1">
      <c r="A76" s="140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302"/>
    </row>
    <row r="77" spans="1:34" s="59" customFormat="1" ht="13" customHeight="1">
      <c r="A77" s="140"/>
      <c r="C77" s="164" t="s">
        <v>243</v>
      </c>
      <c r="D77" s="165"/>
      <c r="E77" s="166"/>
      <c r="F77" s="166"/>
      <c r="G77" s="166"/>
      <c r="H77" s="167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302"/>
    </row>
    <row r="78" spans="1:34" s="59" customFormat="1" ht="13" customHeight="1">
      <c r="A78" s="140"/>
      <c r="C78" s="121" t="s">
        <v>92</v>
      </c>
      <c r="D78" s="122"/>
      <c r="E78" s="123"/>
      <c r="F78" s="123"/>
      <c r="G78" s="123"/>
      <c r="H78" s="124">
        <f>SUMPRODUCT((WEEKDAY($B$13:$B$43,2)=6)*($D$13:$D$43="ND"))-SUMPRODUCT((WEEKDAY($B$13:$B$43,2)=6)*($D$13:$D$43="ND")*($A$13:$A$43="Ft"))</f>
        <v>0</v>
      </c>
      <c r="R78" s="120"/>
      <c r="T78" s="242"/>
      <c r="U78" s="242"/>
      <c r="V78" s="242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  <c r="AH78" s="302"/>
    </row>
    <row r="79" spans="1:34" s="59" customFormat="1" ht="13" customHeight="1">
      <c r="A79" s="140"/>
      <c r="C79" s="121" t="s">
        <v>93</v>
      </c>
      <c r="D79" s="122"/>
      <c r="E79" s="123"/>
      <c r="F79" s="123"/>
      <c r="G79" s="123"/>
      <c r="H79" s="124">
        <f>SUMPRODUCT((WEEKDAY($B$14:$B$44,2)=7)*($D$14:$D$44="ND"))-SUMPRODUCT((WEEKDAY($B$14:$B$44,2)=7)*($D$14:$D$44="ND")*($A$14:$A$44="Ft"))</f>
        <v>0</v>
      </c>
      <c r="R79" s="120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  <c r="AH79" s="302"/>
    </row>
    <row r="80" spans="1:34" s="59" customFormat="1" ht="13" customHeight="1">
      <c r="A80" s="140"/>
      <c r="C80" s="121" t="s">
        <v>94</v>
      </c>
      <c r="D80" s="122"/>
      <c r="E80" s="123"/>
      <c r="F80" s="123"/>
      <c r="G80" s="123"/>
      <c r="H80" s="124">
        <f>SUMPRODUCT(($D$14:$D$44="ND")*($A$14:$A$44="Ft"))</f>
        <v>0</v>
      </c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42"/>
      <c r="AG80" s="242"/>
      <c r="AH80" s="302"/>
    </row>
    <row r="81" spans="1:34" s="59" customFormat="1" ht="13" customHeight="1">
      <c r="A81" s="140"/>
      <c r="C81" s="121" t="s">
        <v>95</v>
      </c>
      <c r="D81" s="122"/>
      <c r="E81" s="125"/>
      <c r="F81" s="125"/>
      <c r="G81" s="125"/>
      <c r="H81" s="124">
        <f>SUMPRODUCT((WEEKDAY($C$13:$C$43,2)=7)*($D$13:$D$43="ND")*($A$14:$A$44="Ft"))-SUMPRODUCT((WEEKDAY($C$13:$C$43,2)=7)*($D$13:$D$43="ND")*($A$13:$A$43="Ft")*($A$14:$A$44="Ft"))</f>
        <v>0</v>
      </c>
      <c r="T81" s="242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  <c r="AH81" s="302"/>
    </row>
    <row r="82" spans="1:34" s="59" customFormat="1" ht="13" customHeight="1">
      <c r="A82" s="140"/>
      <c r="C82" s="121" t="s">
        <v>96</v>
      </c>
      <c r="D82" s="122"/>
      <c r="E82" s="125"/>
      <c r="F82" s="125"/>
      <c r="G82" s="125"/>
      <c r="H82" s="124">
        <f>SUMPRODUCT(($A$13:$A$43="Ft")*($D$13:$D$43="ND")*($A$14:$A$44="Ft"))</f>
        <v>0</v>
      </c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42"/>
      <c r="AG82" s="242"/>
      <c r="AH82" s="302"/>
    </row>
    <row r="83" spans="1:34" s="59" customFormat="1" ht="13" customHeight="1">
      <c r="A83" s="140"/>
      <c r="C83" s="121" t="s">
        <v>97</v>
      </c>
      <c r="D83" s="122"/>
      <c r="E83" s="125"/>
      <c r="F83" s="122"/>
      <c r="G83" s="122"/>
      <c r="H83" s="124">
        <f>SUMPRODUCT(($A$13:$A$43="Ft")*(WEEKDAY($C$14:$C$44,2)=7)*($D$13:$D$43="ND"))-SUMPRODUCT(($A$13:$A$43="Ft")*($A$14:$A$44="Ft")*(WEEKDAY($C$14:$C$44,2)=7)*($D$13:$D$43="ND"))</f>
        <v>0</v>
      </c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302"/>
    </row>
    <row r="84" spans="1:34" s="59" customFormat="1" ht="13" customHeight="1">
      <c r="A84" s="140"/>
      <c r="C84" s="126" t="s">
        <v>152</v>
      </c>
      <c r="D84" s="127"/>
      <c r="E84" s="161"/>
      <c r="F84" s="127"/>
      <c r="G84" s="127"/>
      <c r="H84" s="199">
        <f>SUMPRODUCT(($A$14:$A$44="Ft")*(WEEKDAY($C$13:$C$43,2)&lt;6)*($D$13:$D$43="ND"))-(SUMPRODUCT(($A$14:$A$44="Ft")*($A$13:$A$43="Ft")*(WEEKDAY($C$13:$C$43,2)&lt;6)*($D$13:$D$43="ND")))</f>
        <v>0</v>
      </c>
      <c r="T84" s="242"/>
      <c r="U84" s="242"/>
      <c r="V84" s="242"/>
      <c r="W84" s="242"/>
      <c r="X84" s="242"/>
      <c r="Y84" s="242"/>
      <c r="Z84" s="242"/>
      <c r="AA84" s="242"/>
      <c r="AB84" s="242"/>
      <c r="AC84" s="242"/>
      <c r="AD84" s="242"/>
      <c r="AE84" s="242"/>
      <c r="AF84" s="242"/>
      <c r="AG84" s="242"/>
      <c r="AH84" s="302"/>
    </row>
    <row r="85" spans="1:34" s="59" customFormat="1" ht="13" customHeight="1">
      <c r="A85" s="140"/>
      <c r="C85" s="164" t="s">
        <v>244</v>
      </c>
      <c r="D85" s="165"/>
      <c r="E85" s="166"/>
      <c r="F85" s="166"/>
      <c r="G85" s="166"/>
      <c r="H85" s="167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242"/>
      <c r="AF85" s="242"/>
      <c r="AG85" s="242"/>
      <c r="AH85" s="302"/>
    </row>
    <row r="86" spans="1:34" s="59" customFormat="1" ht="13" customHeight="1">
      <c r="A86" s="140"/>
      <c r="C86" s="267" t="s">
        <v>401</v>
      </c>
      <c r="D86" s="268"/>
      <c r="E86" s="268"/>
      <c r="F86" s="268"/>
      <c r="G86" s="268"/>
      <c r="H86" s="163"/>
      <c r="T86" s="242"/>
      <c r="U86" s="242"/>
      <c r="V86" s="242"/>
      <c r="W86" s="242"/>
      <c r="X86" s="242"/>
      <c r="Y86" s="242"/>
      <c r="Z86" s="242"/>
      <c r="AA86" s="242"/>
      <c r="AB86" s="242"/>
      <c r="AC86" s="242"/>
      <c r="AD86" s="242"/>
      <c r="AE86" s="242"/>
      <c r="AF86" s="242"/>
      <c r="AG86" s="242"/>
      <c r="AH86" s="302"/>
    </row>
    <row r="87" spans="1:34" s="59" customFormat="1" ht="13" customHeight="1">
      <c r="A87" s="140"/>
      <c r="C87" s="121" t="s">
        <v>16</v>
      </c>
      <c r="D87" s="122"/>
      <c r="E87" s="122"/>
      <c r="F87" s="122"/>
      <c r="G87" s="122"/>
      <c r="H87" s="124">
        <f>SUMPRODUCT((WEEKDAY($B$14:$B$44,2)=7)*($D$14:$D$44="TD"))+SUMPRODUCT(($D$14:$D$44="TD")*($A$14:$A$44="Ft"))-SUMPRODUCT((WEEKDAY($B$14:$B$44,2)=7)*($D$14:$D$44="TD")*($A$14:$A$44="Ft"))</f>
        <v>0</v>
      </c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  <c r="AH87" s="302"/>
    </row>
    <row r="88" spans="1:34" s="59" customFormat="1" ht="13" customHeight="1">
      <c r="A88" s="140"/>
      <c r="C88" s="121" t="s">
        <v>225</v>
      </c>
      <c r="D88" s="122"/>
      <c r="E88" s="122"/>
      <c r="F88" s="122"/>
      <c r="G88" s="122"/>
      <c r="H88" s="124">
        <f>SUMPRODUCT((WEEKDAY($B$14:$B$44,2)=7)*($D$14:$D$44="TD5,5"))+SUMPRODUCT(($D$14:$D$44="TD5,5")*($A$14:$A$44="Ft"))-SUMPRODUCT((WEEKDAY($B$14:$B$44,2)=7)*($D$14:$D$44="TD5,5")*($A$14:$A$44="Ft"))</f>
        <v>0</v>
      </c>
      <c r="T88" s="242"/>
      <c r="U88" s="242"/>
      <c r="V88" s="242"/>
      <c r="W88" s="242"/>
      <c r="X88" s="242"/>
      <c r="Y88" s="242"/>
      <c r="Z88" s="242"/>
      <c r="AA88" s="242"/>
      <c r="AB88" s="242"/>
      <c r="AC88" s="242"/>
      <c r="AD88" s="242"/>
      <c r="AE88" s="242"/>
      <c r="AF88" s="242"/>
      <c r="AG88" s="242"/>
      <c r="AH88" s="302"/>
    </row>
    <row r="89" spans="1:34" s="59" customFormat="1" ht="13" customHeight="1">
      <c r="A89" s="140"/>
      <c r="C89" s="121" t="s">
        <v>88</v>
      </c>
      <c r="D89" s="122"/>
      <c r="E89" s="122"/>
      <c r="F89" s="122"/>
      <c r="G89" s="122"/>
      <c r="H89" s="124">
        <f>SUMPRODUCT((WEEKDAY($B$14:$B$44,2)=7)*($D$14:$D$44="TD6"))+SUMPRODUCT(($D$14:$D$44="TD6")*($A$14:$A$44="Ft"))-SUMPRODUCT((WEEKDAY($B$14:$B$44,2)=7)*($D$14:$D$44="TD6")*($A$14:$A$44="Ft"))</f>
        <v>0</v>
      </c>
      <c r="T89" s="242"/>
      <c r="U89" s="242"/>
      <c r="V89" s="242"/>
      <c r="W89" s="242"/>
      <c r="X89" s="242"/>
      <c r="Y89" s="242"/>
      <c r="Z89" s="242"/>
      <c r="AA89" s="242"/>
      <c r="AB89" s="242"/>
      <c r="AC89" s="242"/>
      <c r="AD89" s="242"/>
      <c r="AE89" s="242"/>
      <c r="AF89" s="242"/>
      <c r="AG89" s="242"/>
      <c r="AH89" s="302"/>
    </row>
    <row r="90" spans="1:34" s="59" customFormat="1" ht="13" customHeight="1">
      <c r="A90" s="140"/>
      <c r="C90" s="121" t="s">
        <v>184</v>
      </c>
      <c r="D90" s="122"/>
      <c r="E90" s="122"/>
      <c r="F90" s="122"/>
      <c r="G90" s="122"/>
      <c r="H90" s="124">
        <f>SUMPRODUCT((WEEKDAY($B$14:$B$44,2)=7)*($D$14:$D$44="TD6,25"))+SUMPRODUCT(($D$14:$D$44="TD6,25")*($A$14:$A$44="Ft"))-SUMPRODUCT((WEEKDAY($B$14:$B$44,2)=7)*($D$14:$D$44="TD6,25")*($A$14:$A$44="Ft"))</f>
        <v>0</v>
      </c>
      <c r="T90" s="242"/>
      <c r="U90" s="242"/>
      <c r="V90" s="242"/>
      <c r="W90" s="242"/>
      <c r="X90" s="242"/>
      <c r="Y90" s="242"/>
      <c r="Z90" s="242"/>
      <c r="AA90" s="242"/>
      <c r="AB90" s="242"/>
      <c r="AC90" s="242"/>
      <c r="AD90" s="242"/>
      <c r="AE90" s="242"/>
      <c r="AF90" s="242"/>
      <c r="AG90" s="242"/>
      <c r="AH90" s="302"/>
    </row>
    <row r="91" spans="1:34" s="59" customFormat="1" ht="13" customHeight="1">
      <c r="A91" s="140"/>
      <c r="C91" s="121" t="s">
        <v>209</v>
      </c>
      <c r="D91" s="122"/>
      <c r="E91" s="122"/>
      <c r="F91" s="122"/>
      <c r="G91" s="122"/>
      <c r="H91" s="124">
        <f>SUMPRODUCT((WEEKDAY($B$14:$B$44,2)=7)*($D$14:$D$44="TD6,5"))+SUMPRODUCT(($D$14:$D$44="TD6,5")*($A$14:$A$44="Ft"))-SUMPRODUCT((WEEKDAY($B$14:$B$44,2)=7)*($D$14:$D$44="TD6,5")*($A$14:$A$44="Ft"))</f>
        <v>0</v>
      </c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302"/>
    </row>
    <row r="92" spans="1:34" s="59" customFormat="1" ht="13" customHeight="1">
      <c r="A92" s="140"/>
      <c r="C92" s="121" t="s">
        <v>86</v>
      </c>
      <c r="D92" s="122"/>
      <c r="E92" s="122"/>
      <c r="F92" s="122"/>
      <c r="G92" s="122"/>
      <c r="H92" s="124">
        <f>SUMPRODUCT((WEEKDAY($B$14:$B$44,2)=7)*($D$14:$D$44="TD7"))+SUMPRODUCT(($D$14:$D$44="TD7")*($A$14:$A$44="Ft"))-SUMPRODUCT((WEEKDAY($B$14:$B$44,2)=7)*($D$14:$D$44="TD7")*($A$14:$A$44="Ft"))</f>
        <v>0</v>
      </c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302"/>
    </row>
    <row r="93" spans="1:34" s="59" customFormat="1" ht="13" customHeight="1">
      <c r="A93" s="140"/>
      <c r="C93" s="121" t="s">
        <v>213</v>
      </c>
      <c r="D93" s="122"/>
      <c r="E93" s="122"/>
      <c r="F93" s="122"/>
      <c r="G93" s="122"/>
      <c r="H93" s="124">
        <f>SUMPRODUCT((WEEKDAY($B$14:$B$44,2)=7)*($D$14:$D$44="TD7,5"))+SUMPRODUCT(($D$14:$D$44="TD7,5")*($A$14:$A$44="Ft"))-SUMPRODUCT((WEEKDAY($B$14:$B$44,2)=7)*($D$14:$D$44="TD7,5")*($A$14:$A$44="Ft"))</f>
        <v>0</v>
      </c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302"/>
    </row>
    <row r="94" spans="1:34" s="59" customFormat="1" ht="13" customHeight="1">
      <c r="A94" s="140"/>
      <c r="C94" s="121" t="s">
        <v>71</v>
      </c>
      <c r="D94" s="122"/>
      <c r="E94" s="122"/>
      <c r="F94" s="122"/>
      <c r="G94" s="122"/>
      <c r="H94" s="124">
        <f>SUMPRODUCT((WEEKDAY($B$14:$B$44,2)=7)*($D$14:$D$44="TD8"))+SUMPRODUCT(($D$14:$D$44="TD8")*($A$14:$A$44="Ft"))-SUMPRODUCT((WEEKDAY($B$14:$B$44,2)=7)*($D$14:$D$44="TD8")*($A$14:$A$44="Ft"))</f>
        <v>0</v>
      </c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42"/>
      <c r="AG94" s="242"/>
      <c r="AH94" s="302"/>
    </row>
    <row r="95" spans="1:34" s="59" customFormat="1" ht="13" customHeight="1">
      <c r="A95" s="140"/>
      <c r="C95" s="121" t="s">
        <v>214</v>
      </c>
      <c r="D95" s="122"/>
      <c r="E95" s="122"/>
      <c r="F95" s="122"/>
      <c r="G95" s="122"/>
      <c r="H95" s="124">
        <f>SUMPRODUCT((WEEKDAY($B$14:$B$44,2)=7)*($D$14:$D$44="TD8,5"))+SUMPRODUCT(($D$14:$D$44="TD8,5")*($A$14:$A$44="Ft"))-SUMPRODUCT((WEEKDAY($B$14:$B$44,2)=7)*($D$14:$D$44="TD8,5")*($A$14:$A$44="Ft"))</f>
        <v>0</v>
      </c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302"/>
    </row>
    <row r="96" spans="1:34" ht="13" customHeight="1">
      <c r="C96" s="121" t="s">
        <v>84</v>
      </c>
      <c r="D96" s="122"/>
      <c r="E96" s="122"/>
      <c r="F96" s="122"/>
      <c r="G96" s="122"/>
      <c r="H96" s="12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21" t="s">
        <v>215</v>
      </c>
      <c r="D97" s="122"/>
      <c r="E97" s="122"/>
      <c r="F97" s="122"/>
      <c r="G97" s="122"/>
      <c r="H97" s="12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21" t="s">
        <v>413</v>
      </c>
      <c r="D98" s="122"/>
      <c r="E98" s="122"/>
      <c r="F98" s="122"/>
      <c r="G98" s="122"/>
      <c r="H98" s="12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21" t="s">
        <v>216</v>
      </c>
      <c r="D99" s="122"/>
      <c r="E99" s="122"/>
      <c r="F99" s="122"/>
      <c r="G99" s="122"/>
      <c r="H99" s="12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21" t="s">
        <v>217</v>
      </c>
      <c r="D100" s="122"/>
      <c r="E100" s="122"/>
      <c r="F100" s="122"/>
      <c r="G100" s="122"/>
      <c r="H100" s="12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21" t="s">
        <v>210</v>
      </c>
      <c r="D101" s="122"/>
      <c r="E101" s="122"/>
      <c r="F101" s="122"/>
      <c r="G101" s="122"/>
      <c r="H101" s="12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21" t="s">
        <v>218</v>
      </c>
      <c r="D102" s="122"/>
      <c r="E102" s="122"/>
      <c r="F102" s="122"/>
      <c r="G102" s="122"/>
      <c r="H102" s="12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21" t="s">
        <v>119</v>
      </c>
      <c r="D103" s="122"/>
      <c r="E103" s="122"/>
      <c r="F103" s="122"/>
      <c r="G103" s="122"/>
      <c r="H103" s="12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62" t="s">
        <v>149</v>
      </c>
      <c r="D104" s="263"/>
      <c r="E104" s="263"/>
      <c r="F104" s="263"/>
      <c r="G104" s="263"/>
      <c r="H104" s="162"/>
    </row>
    <row r="105" spans="3:8" ht="13" customHeight="1">
      <c r="C105" s="121" t="s">
        <v>153</v>
      </c>
      <c r="D105" s="122"/>
      <c r="E105" s="122"/>
      <c r="F105" s="122"/>
      <c r="G105" s="122"/>
      <c r="H105" s="124">
        <f>SUMPRODUCT((WEEKDAY($B$13:$B$43,2)=6)*($D$13:$D$43="ND12,5"))-SUMPRODUCT((WEEKDAY($B$13:$B$43,2)=6)*($D$13:$D$43="ND12,5")*($A$13:$A$43="Ft"))</f>
        <v>0</v>
      </c>
    </row>
    <row r="106" spans="3:8">
      <c r="C106" s="121" t="s">
        <v>150</v>
      </c>
      <c r="D106" s="125"/>
      <c r="E106" s="125"/>
      <c r="F106" s="125"/>
      <c r="G106" s="125"/>
      <c r="H106" s="124">
        <f>SUMPRODUCT((WEEKDAY($B$14:$B$44,2)=7)*($D$14:$D$44="ND12,5"))-SUMPRODUCT((WEEKDAY($B$14:$B$44,2)=7)*($D$14:$D$44="ND12,5")*($A$14:$A$44="Ft"))</f>
        <v>0</v>
      </c>
    </row>
    <row r="107" spans="3:8">
      <c r="C107" s="121" t="s">
        <v>151</v>
      </c>
      <c r="D107" s="125"/>
      <c r="E107" s="125"/>
      <c r="F107" s="125"/>
      <c r="G107" s="125"/>
      <c r="H107" s="124">
        <f>SUMPRODUCT(($D$14:$D$44="ND12,5")*($A$14:$A$44="Ft"))</f>
        <v>0</v>
      </c>
    </row>
    <row r="108" spans="3:8">
      <c r="C108" s="121" t="s">
        <v>155</v>
      </c>
      <c r="D108" s="125"/>
      <c r="E108" s="125"/>
      <c r="F108" s="125"/>
      <c r="G108" s="125"/>
      <c r="H108" s="12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21" t="s">
        <v>156</v>
      </c>
      <c r="D109" s="125"/>
      <c r="E109" s="125"/>
      <c r="F109" s="125"/>
      <c r="G109" s="125"/>
      <c r="H109" s="124">
        <f>SUMPRODUCT(($A$13:$A$43="Ft")*($D$13:$D$43="ND12,5")*($A$14:$A$44="Ft"))</f>
        <v>0</v>
      </c>
    </row>
    <row r="110" spans="3:8">
      <c r="C110" s="121" t="s">
        <v>157</v>
      </c>
      <c r="D110" s="125"/>
      <c r="E110" s="125"/>
      <c r="F110" s="125"/>
      <c r="G110" s="125"/>
      <c r="H110" s="12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26" t="s">
        <v>154</v>
      </c>
      <c r="D111" s="161"/>
      <c r="E111" s="161"/>
      <c r="F111" s="161"/>
      <c r="G111" s="161"/>
      <c r="H111" s="199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S6J4LLvPIvAF0mJs38CAqntfStyJDXqVwo9hcdawJgJXKGS+9JEWdv5kmkzg5Xm21hcWF2k1cVL7AHG3660TMA==" saltValue="p8MTQPH60ah8E3d1B7Y98g==" spinCount="100000" sheet="1" selectLockedCells="1"/>
  <mergeCells count="56">
    <mergeCell ref="B3:J4"/>
    <mergeCell ref="K5:M5"/>
    <mergeCell ref="B7:C7"/>
    <mergeCell ref="E7:G7"/>
    <mergeCell ref="H7:J7"/>
    <mergeCell ref="K7:M7"/>
    <mergeCell ref="K6:M6"/>
    <mergeCell ref="B5:E5"/>
    <mergeCell ref="F5:J5"/>
    <mergeCell ref="B6:E6"/>
    <mergeCell ref="F6:J6"/>
    <mergeCell ref="N8:P8"/>
    <mergeCell ref="B8:C8"/>
    <mergeCell ref="E8:G8"/>
    <mergeCell ref="N5:P5"/>
    <mergeCell ref="N7:P7"/>
    <mergeCell ref="N6:P6"/>
    <mergeCell ref="H8:J8"/>
    <mergeCell ref="K8:M8"/>
    <mergeCell ref="AF10:AF11"/>
    <mergeCell ref="AG10:AG11"/>
    <mergeCell ref="N13:O13"/>
    <mergeCell ref="N63:O63"/>
    <mergeCell ref="S9:S11"/>
    <mergeCell ref="U10:Y10"/>
    <mergeCell ref="AA10:AE10"/>
    <mergeCell ref="Q9:Q11"/>
    <mergeCell ref="R9:R11"/>
    <mergeCell ref="O9:O11"/>
    <mergeCell ref="P9:P11"/>
    <mergeCell ref="N9:N11"/>
    <mergeCell ref="N55:O55"/>
    <mergeCell ref="N56:O56"/>
    <mergeCell ref="N57:O57"/>
    <mergeCell ref="N61:O61"/>
    <mergeCell ref="N50:P51"/>
    <mergeCell ref="N58:P59"/>
    <mergeCell ref="N52:O52"/>
    <mergeCell ref="N53:O53"/>
    <mergeCell ref="N54:O54"/>
    <mergeCell ref="N65:O65"/>
    <mergeCell ref="M9:M11"/>
    <mergeCell ref="L47:O47"/>
    <mergeCell ref="C50:D50"/>
    <mergeCell ref="G54:I54"/>
    <mergeCell ref="J9:J11"/>
    <mergeCell ref="K9:K11"/>
    <mergeCell ref="L9:L11"/>
    <mergeCell ref="B9:C11"/>
    <mergeCell ref="D9:D11"/>
    <mergeCell ref="E9:E11"/>
    <mergeCell ref="F9:G10"/>
    <mergeCell ref="H9:I10"/>
    <mergeCell ref="N62:O62"/>
    <mergeCell ref="N60:O60"/>
    <mergeCell ref="L48:O48"/>
  </mergeCells>
  <conditionalFormatting sqref="A13:A44">
    <cfRule type="cellIs" dxfId="34" priority="8" operator="equal">
      <formula>"HFT"</formula>
    </cfRule>
    <cfRule type="cellIs" dxfId="33" priority="9" operator="equal">
      <formula>"FT"</formula>
    </cfRule>
  </conditionalFormatting>
  <conditionalFormatting sqref="A45">
    <cfRule type="cellIs" dxfId="32" priority="101" operator="equal">
      <formula>"Ft"</formula>
    </cfRule>
  </conditionalFormatting>
  <conditionalFormatting sqref="B13:C44">
    <cfRule type="expression" dxfId="30" priority="102">
      <formula>WEEKDAY($C13,2)&gt;5</formula>
    </cfRule>
  </conditionalFormatting>
  <conditionalFormatting sqref="E8">
    <cfRule type="cellIs" dxfId="29" priority="45" operator="greaterThan">
      <formula>48</formula>
    </cfRule>
  </conditionalFormatting>
  <conditionalFormatting sqref="I47:K47">
    <cfRule type="cellIs" dxfId="28" priority="74" operator="equal">
      <formula>"Wochenarbeitszeit überschritten"</formula>
    </cfRule>
  </conditionalFormatting>
  <conditionalFormatting sqref="J45:P45">
    <cfRule type="cellIs" dxfId="27" priority="79" operator="equal">
      <formula>0</formula>
    </cfRule>
  </conditionalFormatting>
  <conditionalFormatting sqref="K8">
    <cfRule type="cellIs" dxfId="26" priority="97" operator="lessThan">
      <formula>$N$8</formula>
    </cfRule>
    <cfRule type="cellIs" dxfId="25" priority="95" operator="equal">
      <formula>$N$8</formula>
    </cfRule>
    <cfRule type="cellIs" dxfId="24" priority="96" operator="greaterThan">
      <formula>$N$8</formula>
    </cfRule>
  </conditionalFormatting>
  <conditionalFormatting sqref="K14:K44">
    <cfRule type="cellIs" dxfId="23" priority="31" operator="lessThanOrEqual">
      <formula>0</formula>
    </cfRule>
    <cfRule type="cellIs" dxfId="22" priority="32" operator="greaterThan">
      <formula>0</formula>
    </cfRule>
  </conditionalFormatting>
  <conditionalFormatting sqref="K45">
    <cfRule type="cellIs" dxfId="21" priority="94" operator="lessThan">
      <formula>0</formula>
    </cfRule>
  </conditionalFormatting>
  <conditionalFormatting sqref="N14:O44">
    <cfRule type="cellIs" dxfId="20" priority="11" operator="equal">
      <formula>0</formula>
    </cfRule>
  </conditionalFormatting>
  <conditionalFormatting sqref="P13:P44">
    <cfRule type="cellIs" dxfId="19" priority="2" operator="equal">
      <formula>0</formula>
    </cfRule>
  </conditionalFormatting>
  <conditionalFormatting sqref="P60:P63">
    <cfRule type="cellIs" dxfId="18" priority="58" operator="lessThan">
      <formula>0</formula>
    </cfRule>
  </conditionalFormatting>
  <conditionalFormatting sqref="P65:P67">
    <cfRule type="cellIs" dxfId="17" priority="42" operator="lessThan">
      <formula>0</formula>
    </cfRule>
  </conditionalFormatting>
  <conditionalFormatting sqref="Q47">
    <cfRule type="cellIs" dxfId="16" priority="47" operator="equal">
      <formula>0</formula>
    </cfRule>
  </conditionalFormatting>
  <conditionalFormatting sqref="T51:W51">
    <cfRule type="cellIs" dxfId="15" priority="25" operator="equal">
      <formula>0</formula>
    </cfRule>
  </conditionalFormatting>
  <conditionalFormatting sqref="T14:Y44">
    <cfRule type="cellIs" dxfId="14" priority="59" operator="equal">
      <formula>0</formula>
    </cfRule>
  </conditionalFormatting>
  <conditionalFormatting sqref="T45:AD45">
    <cfRule type="cellIs" dxfId="13" priority="83" operator="equal">
      <formula>0</formula>
    </cfRule>
  </conditionalFormatting>
  <conditionalFormatting sqref="U51:Y53">
    <cfRule type="cellIs" dxfId="12" priority="15" operator="equal">
      <formula>0</formula>
    </cfRule>
  </conditionalFormatting>
  <conditionalFormatting sqref="V13:Y13">
    <cfRule type="cellIs" dxfId="11" priority="88" operator="equal">
      <formula>0</formula>
    </cfRule>
  </conditionalFormatting>
  <conditionalFormatting sqref="W52">
    <cfRule type="cellIs" dxfId="10" priority="19" operator="equal">
      <formula>0</formula>
    </cfRule>
  </conditionalFormatting>
  <conditionalFormatting sqref="Z13:Z44">
    <cfRule type="cellIs" dxfId="9" priority="90" operator="equal">
      <formula>0</formula>
    </cfRule>
  </conditionalFormatting>
  <conditionalFormatting sqref="Z51:AC51">
    <cfRule type="cellIs" dxfId="8" priority="23" operator="equal">
      <formula>0</formula>
    </cfRule>
  </conditionalFormatting>
  <conditionalFormatting sqref="AA14:AB44">
    <cfRule type="cellIs" dxfId="7" priority="33" operator="equal">
      <formula>0</formula>
    </cfRule>
  </conditionalFormatting>
  <conditionalFormatting sqref="AA51:AE52">
    <cfRule type="cellIs" dxfId="6" priority="5" operator="equal">
      <formula>0</formula>
    </cfRule>
  </conditionalFormatting>
  <conditionalFormatting sqref="AC13:AD44">
    <cfRule type="cellIs" dxfId="5" priority="71" operator="equal">
      <formula>0</formula>
    </cfRule>
  </conditionalFormatting>
  <conditionalFormatting sqref="AE13:AE45">
    <cfRule type="cellIs" dxfId="4" priority="1" operator="equal">
      <formula>0</formula>
    </cfRule>
  </conditionalFormatting>
  <conditionalFormatting sqref="AF13:AG44">
    <cfRule type="cellIs" dxfId="3" priority="64" operator="equal">
      <formula>0</formula>
    </cfRule>
  </conditionalFormatting>
  <conditionalFormatting sqref="AG51:AH51">
    <cfRule type="cellIs" dxfId="2" priority="14" operator="equal">
      <formula>0</formula>
    </cfRule>
  </conditionalFormatting>
  <conditionalFormatting sqref="AH14:AH44">
    <cfRule type="cellIs" dxfId="1" priority="28" operator="equal">
      <formula>0</formula>
    </cfRule>
  </conditionalFormatting>
  <conditionalFormatting sqref="AH51:AH52">
    <cfRule type="cellIs" dxfId="0" priority="12" operator="equal">
      <formula>0</formula>
    </cfRule>
  </conditionalFormatting>
  <dataValidations count="4">
    <dataValidation type="list" allowBlank="1" showInputMessage="1" showErrorMessage="1" sqref="J14:J44" xr:uid="{B6D196B2-3FB2-4C54-8C0F-1C4E79AD5DDE}">
      <formula1>AbwesenheitenStunden</formula1>
    </dataValidation>
    <dataValidation type="list" allowBlank="1" showInputMessage="1" showErrorMessage="1" error="Die Eingabe ist unzulässig_x000a_Bitte Drop Down Felder verwenden" sqref="F14:G44" xr:uid="{EC44EF69-8297-43B1-AC28-6BDE37E8CE23}">
      <formula1>Zeiten1</formula1>
    </dataValidation>
    <dataValidation type="decimal" allowBlank="1" showInputMessage="1" showErrorMessage="1" error="Die ausgewählte Stundenanzahl steht nicht zur Verfügung!" sqref="J54" xr:uid="{946162B2-BA40-4C96-A610-56D80E8EB778}">
      <formula1>0</formula1>
      <formula2>K54</formula2>
    </dataValidation>
    <dataValidation type="list" allowBlank="1" showInputMessage="1" showErrorMessage="1" sqref="H14:I44" xr:uid="{3D739E2D-93BA-4883-AA1C-AF7888FE2D8F}">
      <formula1>Zeiten2</formula1>
    </dataValidation>
  </dataValidations>
  <pageMargins left="0" right="0" top="0" bottom="0" header="0" footer="0"/>
  <pageSetup paperSize="9" orientation="landscape" horizontalDpi="4294967293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3" id="{A6615CEE-F4F8-4EC4-A323-38D7C8A4A420}">
            <xm:f>COUNTIF(Datenblatt!$C$84:$C$97,$C13)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F00-000006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5CD4AEAB-B18F-405A-9600-FA85FCE2404E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15D2E8FA-C1E7-4844-8409-F0F5FEEBA8F9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8E62F03D-4D00-461E-AB64-F1AAFF9DAD38}">
          <x14:formula1>
            <xm:f>Datenblatt!$D$58:$D$59</xm:f>
          </x14:formula1>
          <xm:sqref>P47 J58</xm:sqref>
        </x14:dataValidation>
        <x14:dataValidation type="list" allowBlank="1" showInputMessage="1" showErrorMessage="1" xr:uid="{185CD8BD-1121-4441-8C17-BC4D9E331030}">
          <x14:formula1>
            <xm:f>Datenblatt!$D$52:$D$53</xm:f>
          </x14:formula1>
          <xm:sqref>P48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3"/>
  <dimension ref="A1:Q201"/>
  <sheetViews>
    <sheetView topLeftCell="E1" workbookViewId="0">
      <selection activeCell="P2" sqref="P2"/>
    </sheetView>
  </sheetViews>
  <sheetFormatPr baseColWidth="10" defaultRowHeight="15"/>
  <cols>
    <col min="1" max="1" width="11.33203125" style="51" customWidth="1"/>
    <col min="2" max="2" width="16.33203125" style="51" customWidth="1"/>
    <col min="3" max="3" width="15.83203125" style="51" customWidth="1"/>
    <col min="4" max="4" width="22.5" style="51" customWidth="1"/>
    <col min="5" max="5" width="8.33203125" style="51" customWidth="1"/>
    <col min="6" max="6" width="19.33203125" style="51" customWidth="1"/>
    <col min="7" max="7" width="11.5" style="51" customWidth="1"/>
    <col min="8" max="8" width="12.5" style="51" customWidth="1"/>
    <col min="9" max="9" width="8.83203125" style="51" customWidth="1"/>
    <col min="10" max="10" width="12.83203125" style="51" customWidth="1"/>
    <col min="11" max="11" width="17.83203125" style="54" customWidth="1"/>
    <col min="12" max="12" width="12.5" style="51" customWidth="1"/>
    <col min="13" max="13" width="13.1640625" style="51" customWidth="1"/>
    <col min="14" max="14" width="7.1640625" style="54" customWidth="1"/>
    <col min="15" max="15" width="9.5" style="55" customWidth="1"/>
    <col min="16" max="16" width="16.5" style="51" customWidth="1"/>
    <col min="18" max="18" width="10.83203125" style="51"/>
    <col min="19" max="19" width="16.83203125" style="51" customWidth="1"/>
    <col min="20" max="256" width="10.83203125" style="51"/>
    <col min="257" max="257" width="31.5" style="51" customWidth="1"/>
    <col min="258" max="259" width="15.83203125" style="51" customWidth="1"/>
    <col min="260" max="260" width="13.5" style="51" customWidth="1"/>
    <col min="261" max="512" width="10.83203125" style="51"/>
    <col min="513" max="513" width="31.5" style="51" customWidth="1"/>
    <col min="514" max="515" width="15.83203125" style="51" customWidth="1"/>
    <col min="516" max="516" width="13.5" style="51" customWidth="1"/>
    <col min="517" max="768" width="10.83203125" style="51"/>
    <col min="769" max="769" width="31.5" style="51" customWidth="1"/>
    <col min="770" max="771" width="15.83203125" style="51" customWidth="1"/>
    <col min="772" max="772" width="13.5" style="51" customWidth="1"/>
    <col min="773" max="1024" width="10.83203125" style="51"/>
    <col min="1025" max="1025" width="31.5" style="51" customWidth="1"/>
    <col min="1026" max="1027" width="15.83203125" style="51" customWidth="1"/>
    <col min="1028" max="1028" width="13.5" style="51" customWidth="1"/>
    <col min="1029" max="1280" width="10.83203125" style="51"/>
    <col min="1281" max="1281" width="31.5" style="51" customWidth="1"/>
    <col min="1282" max="1283" width="15.83203125" style="51" customWidth="1"/>
    <col min="1284" max="1284" width="13.5" style="51" customWidth="1"/>
    <col min="1285" max="1536" width="10.83203125" style="51"/>
    <col min="1537" max="1537" width="31.5" style="51" customWidth="1"/>
    <col min="1538" max="1539" width="15.83203125" style="51" customWidth="1"/>
    <col min="1540" max="1540" width="13.5" style="51" customWidth="1"/>
    <col min="1541" max="1792" width="10.83203125" style="51"/>
    <col min="1793" max="1793" width="31.5" style="51" customWidth="1"/>
    <col min="1794" max="1795" width="15.83203125" style="51" customWidth="1"/>
    <col min="1796" max="1796" width="13.5" style="51" customWidth="1"/>
    <col min="1797" max="2048" width="10.83203125" style="51"/>
    <col min="2049" max="2049" width="31.5" style="51" customWidth="1"/>
    <col min="2050" max="2051" width="15.83203125" style="51" customWidth="1"/>
    <col min="2052" max="2052" width="13.5" style="51" customWidth="1"/>
    <col min="2053" max="2304" width="10.83203125" style="51"/>
    <col min="2305" max="2305" width="31.5" style="51" customWidth="1"/>
    <col min="2306" max="2307" width="15.83203125" style="51" customWidth="1"/>
    <col min="2308" max="2308" width="13.5" style="51" customWidth="1"/>
    <col min="2309" max="2560" width="10.83203125" style="51"/>
    <col min="2561" max="2561" width="31.5" style="51" customWidth="1"/>
    <col min="2562" max="2563" width="15.83203125" style="51" customWidth="1"/>
    <col min="2564" max="2564" width="13.5" style="51" customWidth="1"/>
    <col min="2565" max="2816" width="10.83203125" style="51"/>
    <col min="2817" max="2817" width="31.5" style="51" customWidth="1"/>
    <col min="2818" max="2819" width="15.83203125" style="51" customWidth="1"/>
    <col min="2820" max="2820" width="13.5" style="51" customWidth="1"/>
    <col min="2821" max="3072" width="10.83203125" style="51"/>
    <col min="3073" max="3073" width="31.5" style="51" customWidth="1"/>
    <col min="3074" max="3075" width="15.83203125" style="51" customWidth="1"/>
    <col min="3076" max="3076" width="13.5" style="51" customWidth="1"/>
    <col min="3077" max="3328" width="10.83203125" style="51"/>
    <col min="3329" max="3329" width="31.5" style="51" customWidth="1"/>
    <col min="3330" max="3331" width="15.83203125" style="51" customWidth="1"/>
    <col min="3332" max="3332" width="13.5" style="51" customWidth="1"/>
    <col min="3333" max="3584" width="10.83203125" style="51"/>
    <col min="3585" max="3585" width="31.5" style="51" customWidth="1"/>
    <col min="3586" max="3587" width="15.83203125" style="51" customWidth="1"/>
    <col min="3588" max="3588" width="13.5" style="51" customWidth="1"/>
    <col min="3589" max="3840" width="10.83203125" style="51"/>
    <col min="3841" max="3841" width="31.5" style="51" customWidth="1"/>
    <col min="3842" max="3843" width="15.83203125" style="51" customWidth="1"/>
    <col min="3844" max="3844" width="13.5" style="51" customWidth="1"/>
    <col min="3845" max="4096" width="10.83203125" style="51"/>
    <col min="4097" max="4097" width="31.5" style="51" customWidth="1"/>
    <col min="4098" max="4099" width="15.83203125" style="51" customWidth="1"/>
    <col min="4100" max="4100" width="13.5" style="51" customWidth="1"/>
    <col min="4101" max="4352" width="10.83203125" style="51"/>
    <col min="4353" max="4353" width="31.5" style="51" customWidth="1"/>
    <col min="4354" max="4355" width="15.83203125" style="51" customWidth="1"/>
    <col min="4356" max="4356" width="13.5" style="51" customWidth="1"/>
    <col min="4357" max="4608" width="10.83203125" style="51"/>
    <col min="4609" max="4609" width="31.5" style="51" customWidth="1"/>
    <col min="4610" max="4611" width="15.83203125" style="51" customWidth="1"/>
    <col min="4612" max="4612" width="13.5" style="51" customWidth="1"/>
    <col min="4613" max="4864" width="10.83203125" style="51"/>
    <col min="4865" max="4865" width="31.5" style="51" customWidth="1"/>
    <col min="4866" max="4867" width="15.83203125" style="51" customWidth="1"/>
    <col min="4868" max="4868" width="13.5" style="51" customWidth="1"/>
    <col min="4869" max="5120" width="10.83203125" style="51"/>
    <col min="5121" max="5121" width="31.5" style="51" customWidth="1"/>
    <col min="5122" max="5123" width="15.83203125" style="51" customWidth="1"/>
    <col min="5124" max="5124" width="13.5" style="51" customWidth="1"/>
    <col min="5125" max="5376" width="10.83203125" style="51"/>
    <col min="5377" max="5377" width="31.5" style="51" customWidth="1"/>
    <col min="5378" max="5379" width="15.83203125" style="51" customWidth="1"/>
    <col min="5380" max="5380" width="13.5" style="51" customWidth="1"/>
    <col min="5381" max="5632" width="10.83203125" style="51"/>
    <col min="5633" max="5633" width="31.5" style="51" customWidth="1"/>
    <col min="5634" max="5635" width="15.83203125" style="51" customWidth="1"/>
    <col min="5636" max="5636" width="13.5" style="51" customWidth="1"/>
    <col min="5637" max="5888" width="10.83203125" style="51"/>
    <col min="5889" max="5889" width="31.5" style="51" customWidth="1"/>
    <col min="5890" max="5891" width="15.83203125" style="51" customWidth="1"/>
    <col min="5892" max="5892" width="13.5" style="51" customWidth="1"/>
    <col min="5893" max="6144" width="10.83203125" style="51"/>
    <col min="6145" max="6145" width="31.5" style="51" customWidth="1"/>
    <col min="6146" max="6147" width="15.83203125" style="51" customWidth="1"/>
    <col min="6148" max="6148" width="13.5" style="51" customWidth="1"/>
    <col min="6149" max="6400" width="10.83203125" style="51"/>
    <col min="6401" max="6401" width="31.5" style="51" customWidth="1"/>
    <col min="6402" max="6403" width="15.83203125" style="51" customWidth="1"/>
    <col min="6404" max="6404" width="13.5" style="51" customWidth="1"/>
    <col min="6405" max="6656" width="10.83203125" style="51"/>
    <col min="6657" max="6657" width="31.5" style="51" customWidth="1"/>
    <col min="6658" max="6659" width="15.83203125" style="51" customWidth="1"/>
    <col min="6660" max="6660" width="13.5" style="51" customWidth="1"/>
    <col min="6661" max="6912" width="10.83203125" style="51"/>
    <col min="6913" max="6913" width="31.5" style="51" customWidth="1"/>
    <col min="6914" max="6915" width="15.83203125" style="51" customWidth="1"/>
    <col min="6916" max="6916" width="13.5" style="51" customWidth="1"/>
    <col min="6917" max="7168" width="10.83203125" style="51"/>
    <col min="7169" max="7169" width="31.5" style="51" customWidth="1"/>
    <col min="7170" max="7171" width="15.83203125" style="51" customWidth="1"/>
    <col min="7172" max="7172" width="13.5" style="51" customWidth="1"/>
    <col min="7173" max="7424" width="10.83203125" style="51"/>
    <col min="7425" max="7425" width="31.5" style="51" customWidth="1"/>
    <col min="7426" max="7427" width="15.83203125" style="51" customWidth="1"/>
    <col min="7428" max="7428" width="13.5" style="51" customWidth="1"/>
    <col min="7429" max="7680" width="10.83203125" style="51"/>
    <col min="7681" max="7681" width="31.5" style="51" customWidth="1"/>
    <col min="7682" max="7683" width="15.83203125" style="51" customWidth="1"/>
    <col min="7684" max="7684" width="13.5" style="51" customWidth="1"/>
    <col min="7685" max="7936" width="10.83203125" style="51"/>
    <col min="7937" max="7937" width="31.5" style="51" customWidth="1"/>
    <col min="7938" max="7939" width="15.83203125" style="51" customWidth="1"/>
    <col min="7940" max="7940" width="13.5" style="51" customWidth="1"/>
    <col min="7941" max="8192" width="10.83203125" style="51"/>
    <col min="8193" max="8193" width="31.5" style="51" customWidth="1"/>
    <col min="8194" max="8195" width="15.83203125" style="51" customWidth="1"/>
    <col min="8196" max="8196" width="13.5" style="51" customWidth="1"/>
    <col min="8197" max="8448" width="10.83203125" style="51"/>
    <col min="8449" max="8449" width="31.5" style="51" customWidth="1"/>
    <col min="8450" max="8451" width="15.83203125" style="51" customWidth="1"/>
    <col min="8452" max="8452" width="13.5" style="51" customWidth="1"/>
    <col min="8453" max="8704" width="10.83203125" style="51"/>
    <col min="8705" max="8705" width="31.5" style="51" customWidth="1"/>
    <col min="8706" max="8707" width="15.83203125" style="51" customWidth="1"/>
    <col min="8708" max="8708" width="13.5" style="51" customWidth="1"/>
    <col min="8709" max="8960" width="10.83203125" style="51"/>
    <col min="8961" max="8961" width="31.5" style="51" customWidth="1"/>
    <col min="8962" max="8963" width="15.83203125" style="51" customWidth="1"/>
    <col min="8964" max="8964" width="13.5" style="51" customWidth="1"/>
    <col min="8965" max="9216" width="10.83203125" style="51"/>
    <col min="9217" max="9217" width="31.5" style="51" customWidth="1"/>
    <col min="9218" max="9219" width="15.83203125" style="51" customWidth="1"/>
    <col min="9220" max="9220" width="13.5" style="51" customWidth="1"/>
    <col min="9221" max="9472" width="10.83203125" style="51"/>
    <col min="9473" max="9473" width="31.5" style="51" customWidth="1"/>
    <col min="9474" max="9475" width="15.83203125" style="51" customWidth="1"/>
    <col min="9476" max="9476" width="13.5" style="51" customWidth="1"/>
    <col min="9477" max="9728" width="10.83203125" style="51"/>
    <col min="9729" max="9729" width="31.5" style="51" customWidth="1"/>
    <col min="9730" max="9731" width="15.83203125" style="51" customWidth="1"/>
    <col min="9732" max="9732" width="13.5" style="51" customWidth="1"/>
    <col min="9733" max="9984" width="10.83203125" style="51"/>
    <col min="9985" max="9985" width="31.5" style="51" customWidth="1"/>
    <col min="9986" max="9987" width="15.83203125" style="51" customWidth="1"/>
    <col min="9988" max="9988" width="13.5" style="51" customWidth="1"/>
    <col min="9989" max="10240" width="10.83203125" style="51"/>
    <col min="10241" max="10241" width="31.5" style="51" customWidth="1"/>
    <col min="10242" max="10243" width="15.83203125" style="51" customWidth="1"/>
    <col min="10244" max="10244" width="13.5" style="51" customWidth="1"/>
    <col min="10245" max="10496" width="10.83203125" style="51"/>
    <col min="10497" max="10497" width="31.5" style="51" customWidth="1"/>
    <col min="10498" max="10499" width="15.83203125" style="51" customWidth="1"/>
    <col min="10500" max="10500" width="13.5" style="51" customWidth="1"/>
    <col min="10501" max="10752" width="10.83203125" style="51"/>
    <col min="10753" max="10753" width="31.5" style="51" customWidth="1"/>
    <col min="10754" max="10755" width="15.83203125" style="51" customWidth="1"/>
    <col min="10756" max="10756" width="13.5" style="51" customWidth="1"/>
    <col min="10757" max="11008" width="10.83203125" style="51"/>
    <col min="11009" max="11009" width="31.5" style="51" customWidth="1"/>
    <col min="11010" max="11011" width="15.83203125" style="51" customWidth="1"/>
    <col min="11012" max="11012" width="13.5" style="51" customWidth="1"/>
    <col min="11013" max="11264" width="10.83203125" style="51"/>
    <col min="11265" max="11265" width="31.5" style="51" customWidth="1"/>
    <col min="11266" max="11267" width="15.83203125" style="51" customWidth="1"/>
    <col min="11268" max="11268" width="13.5" style="51" customWidth="1"/>
    <col min="11269" max="11520" width="10.83203125" style="51"/>
    <col min="11521" max="11521" width="31.5" style="51" customWidth="1"/>
    <col min="11522" max="11523" width="15.83203125" style="51" customWidth="1"/>
    <col min="11524" max="11524" width="13.5" style="51" customWidth="1"/>
    <col min="11525" max="11776" width="10.83203125" style="51"/>
    <col min="11777" max="11777" width="31.5" style="51" customWidth="1"/>
    <col min="11778" max="11779" width="15.83203125" style="51" customWidth="1"/>
    <col min="11780" max="11780" width="13.5" style="51" customWidth="1"/>
    <col min="11781" max="12032" width="10.83203125" style="51"/>
    <col min="12033" max="12033" width="31.5" style="51" customWidth="1"/>
    <col min="12034" max="12035" width="15.83203125" style="51" customWidth="1"/>
    <col min="12036" max="12036" width="13.5" style="51" customWidth="1"/>
    <col min="12037" max="12288" width="10.83203125" style="51"/>
    <col min="12289" max="12289" width="31.5" style="51" customWidth="1"/>
    <col min="12290" max="12291" width="15.83203125" style="51" customWidth="1"/>
    <col min="12292" max="12292" width="13.5" style="51" customWidth="1"/>
    <col min="12293" max="12544" width="10.83203125" style="51"/>
    <col min="12545" max="12545" width="31.5" style="51" customWidth="1"/>
    <col min="12546" max="12547" width="15.83203125" style="51" customWidth="1"/>
    <col min="12548" max="12548" width="13.5" style="51" customWidth="1"/>
    <col min="12549" max="12800" width="10.83203125" style="51"/>
    <col min="12801" max="12801" width="31.5" style="51" customWidth="1"/>
    <col min="12802" max="12803" width="15.83203125" style="51" customWidth="1"/>
    <col min="12804" max="12804" width="13.5" style="51" customWidth="1"/>
    <col min="12805" max="13056" width="10.83203125" style="51"/>
    <col min="13057" max="13057" width="31.5" style="51" customWidth="1"/>
    <col min="13058" max="13059" width="15.83203125" style="51" customWidth="1"/>
    <col min="13060" max="13060" width="13.5" style="51" customWidth="1"/>
    <col min="13061" max="13312" width="10.83203125" style="51"/>
    <col min="13313" max="13313" width="31.5" style="51" customWidth="1"/>
    <col min="13314" max="13315" width="15.83203125" style="51" customWidth="1"/>
    <col min="13316" max="13316" width="13.5" style="51" customWidth="1"/>
    <col min="13317" max="13568" width="10.83203125" style="51"/>
    <col min="13569" max="13569" width="31.5" style="51" customWidth="1"/>
    <col min="13570" max="13571" width="15.83203125" style="51" customWidth="1"/>
    <col min="13572" max="13572" width="13.5" style="51" customWidth="1"/>
    <col min="13573" max="13824" width="10.83203125" style="51"/>
    <col min="13825" max="13825" width="31.5" style="51" customWidth="1"/>
    <col min="13826" max="13827" width="15.83203125" style="51" customWidth="1"/>
    <col min="13828" max="13828" width="13.5" style="51" customWidth="1"/>
    <col min="13829" max="14080" width="10.83203125" style="51"/>
    <col min="14081" max="14081" width="31.5" style="51" customWidth="1"/>
    <col min="14082" max="14083" width="15.83203125" style="51" customWidth="1"/>
    <col min="14084" max="14084" width="13.5" style="51" customWidth="1"/>
    <col min="14085" max="14336" width="10.83203125" style="51"/>
    <col min="14337" max="14337" width="31.5" style="51" customWidth="1"/>
    <col min="14338" max="14339" width="15.83203125" style="51" customWidth="1"/>
    <col min="14340" max="14340" width="13.5" style="51" customWidth="1"/>
    <col min="14341" max="14592" width="10.83203125" style="51"/>
    <col min="14593" max="14593" width="31.5" style="51" customWidth="1"/>
    <col min="14594" max="14595" width="15.83203125" style="51" customWidth="1"/>
    <col min="14596" max="14596" width="13.5" style="51" customWidth="1"/>
    <col min="14597" max="14848" width="10.83203125" style="51"/>
    <col min="14849" max="14849" width="31.5" style="51" customWidth="1"/>
    <col min="14850" max="14851" width="15.83203125" style="51" customWidth="1"/>
    <col min="14852" max="14852" width="13.5" style="51" customWidth="1"/>
    <col min="14853" max="15104" width="10.83203125" style="51"/>
    <col min="15105" max="15105" width="31.5" style="51" customWidth="1"/>
    <col min="15106" max="15107" width="15.83203125" style="51" customWidth="1"/>
    <col min="15108" max="15108" width="13.5" style="51" customWidth="1"/>
    <col min="15109" max="15360" width="10.83203125" style="51"/>
    <col min="15361" max="15361" width="31.5" style="51" customWidth="1"/>
    <col min="15362" max="15363" width="15.83203125" style="51" customWidth="1"/>
    <col min="15364" max="15364" width="13.5" style="51" customWidth="1"/>
    <col min="15365" max="15616" width="10.83203125" style="51"/>
    <col min="15617" max="15617" width="31.5" style="51" customWidth="1"/>
    <col min="15618" max="15619" width="15.83203125" style="51" customWidth="1"/>
    <col min="15620" max="15620" width="13.5" style="51" customWidth="1"/>
    <col min="15621" max="15872" width="10.83203125" style="51"/>
    <col min="15873" max="15873" width="31.5" style="51" customWidth="1"/>
    <col min="15874" max="15875" width="15.83203125" style="51" customWidth="1"/>
    <col min="15876" max="15876" width="13.5" style="51" customWidth="1"/>
    <col min="15877" max="16128" width="10.83203125" style="51"/>
    <col min="16129" max="16129" width="31.5" style="51" customWidth="1"/>
    <col min="16130" max="16131" width="15.83203125" style="51" customWidth="1"/>
    <col min="16132" max="16132" width="13.5" style="51" customWidth="1"/>
    <col min="16133" max="16384" width="10.83203125" style="51"/>
  </cols>
  <sheetData>
    <row r="1" spans="1:16">
      <c r="A1" s="200" t="s">
        <v>371</v>
      </c>
      <c r="B1" s="200" t="s">
        <v>377</v>
      </c>
      <c r="C1" s="200" t="s">
        <v>376</v>
      </c>
      <c r="D1" s="200" t="s">
        <v>381</v>
      </c>
      <c r="E1" s="200" t="s">
        <v>370</v>
      </c>
      <c r="F1" s="200" t="s">
        <v>378</v>
      </c>
      <c r="G1" s="200" t="s">
        <v>379</v>
      </c>
      <c r="H1" s="200" t="s">
        <v>135</v>
      </c>
      <c r="I1" s="200" t="s">
        <v>369</v>
      </c>
      <c r="J1" s="305" t="s">
        <v>282</v>
      </c>
      <c r="K1" s="305" t="s">
        <v>382</v>
      </c>
      <c r="L1" s="200" t="s">
        <v>169</v>
      </c>
      <c r="M1" s="200" t="s">
        <v>380</v>
      </c>
      <c r="N1" s="200" t="s">
        <v>366</v>
      </c>
      <c r="O1" s="200" t="s">
        <v>367</v>
      </c>
      <c r="P1" s="133" t="s">
        <v>284</v>
      </c>
    </row>
    <row r="2" spans="1:16">
      <c r="A2" s="250" t="s">
        <v>16</v>
      </c>
      <c r="B2" s="250">
        <v>5</v>
      </c>
      <c r="C2" s="250">
        <v>5</v>
      </c>
      <c r="D2" s="56" t="s">
        <v>66</v>
      </c>
      <c r="E2" s="250" t="s">
        <v>16</v>
      </c>
      <c r="F2" s="128" t="s">
        <v>263</v>
      </c>
      <c r="G2" s="250">
        <v>5</v>
      </c>
      <c r="H2" s="54">
        <v>0</v>
      </c>
      <c r="I2" s="250" t="s">
        <v>16</v>
      </c>
      <c r="J2" s="54"/>
      <c r="K2" s="55">
        <v>0.5</v>
      </c>
      <c r="L2" s="250" t="s">
        <v>16</v>
      </c>
      <c r="M2" s="250">
        <v>5</v>
      </c>
      <c r="N2" s="427">
        <v>0.25</v>
      </c>
      <c r="O2" s="427">
        <v>0.91666666666666663</v>
      </c>
      <c r="P2" s="320">
        <f>DATE(Start!$D$2,1,1)</f>
        <v>45292</v>
      </c>
    </row>
    <row r="3" spans="1:16">
      <c r="A3" s="54" t="s">
        <v>225</v>
      </c>
      <c r="B3" s="54">
        <v>5.5</v>
      </c>
      <c r="C3" s="54">
        <v>5.5</v>
      </c>
      <c r="D3" s="56" t="s">
        <v>226</v>
      </c>
      <c r="E3" s="54" t="s">
        <v>225</v>
      </c>
      <c r="F3" s="128" t="s">
        <v>264</v>
      </c>
      <c r="G3" s="54">
        <v>5.5</v>
      </c>
      <c r="H3" s="54">
        <v>0</v>
      </c>
      <c r="I3" s="54" t="s">
        <v>225</v>
      </c>
      <c r="J3" s="54">
        <v>1</v>
      </c>
      <c r="K3" s="55">
        <v>1</v>
      </c>
      <c r="L3" s="54" t="s">
        <v>225</v>
      </c>
      <c r="M3" s="54">
        <v>5.5</v>
      </c>
      <c r="N3" s="427">
        <v>0.26041666666666669</v>
      </c>
      <c r="O3" s="427">
        <v>0.92708333333333337</v>
      </c>
      <c r="P3" s="320">
        <f>DATE(Start!$D$2,2,1)</f>
        <v>45323</v>
      </c>
    </row>
    <row r="4" spans="1:16">
      <c r="A4" s="54" t="s">
        <v>88</v>
      </c>
      <c r="B4" s="54">
        <v>6</v>
      </c>
      <c r="C4" s="54">
        <v>6</v>
      </c>
      <c r="D4" s="56" t="s">
        <v>89</v>
      </c>
      <c r="E4" s="54" t="s">
        <v>88</v>
      </c>
      <c r="F4" s="128" t="s">
        <v>265</v>
      </c>
      <c r="G4" s="54">
        <v>6</v>
      </c>
      <c r="H4" s="54">
        <v>0</v>
      </c>
      <c r="I4" s="54" t="s">
        <v>88</v>
      </c>
      <c r="J4" s="54">
        <v>2</v>
      </c>
      <c r="K4" s="55">
        <v>1.5</v>
      </c>
      <c r="L4" s="54" t="s">
        <v>88</v>
      </c>
      <c r="M4" s="54">
        <v>6</v>
      </c>
      <c r="N4" s="427">
        <v>0.27083333333333298</v>
      </c>
      <c r="O4" s="427">
        <v>0.9375</v>
      </c>
      <c r="P4" s="320">
        <f>DATE(Start!$D$2,3,1)</f>
        <v>45352</v>
      </c>
    </row>
    <row r="5" spans="1:16">
      <c r="A5" s="54" t="s">
        <v>184</v>
      </c>
      <c r="B5" s="54">
        <v>6.25</v>
      </c>
      <c r="C5" s="54">
        <v>6.25</v>
      </c>
      <c r="D5" s="56" t="s">
        <v>185</v>
      </c>
      <c r="E5" s="54" t="s">
        <v>184</v>
      </c>
      <c r="F5" s="128" t="s">
        <v>266</v>
      </c>
      <c r="G5" s="54">
        <v>6.25</v>
      </c>
      <c r="H5" s="54">
        <v>0</v>
      </c>
      <c r="I5" s="54" t="s">
        <v>184</v>
      </c>
      <c r="J5" s="54">
        <v>3</v>
      </c>
      <c r="K5" s="55">
        <v>2</v>
      </c>
      <c r="L5" s="54" t="s">
        <v>184</v>
      </c>
      <c r="M5" s="54">
        <v>6.25</v>
      </c>
      <c r="N5" s="427">
        <v>0.28125</v>
      </c>
      <c r="O5" s="427">
        <v>0.94791666666666696</v>
      </c>
      <c r="P5" s="320">
        <f>DATE(Start!$D$2,4,1)</f>
        <v>45383</v>
      </c>
    </row>
    <row r="6" spans="1:16">
      <c r="A6" s="54" t="s">
        <v>209</v>
      </c>
      <c r="B6" s="54">
        <v>6.5</v>
      </c>
      <c r="C6" s="54">
        <v>6.5</v>
      </c>
      <c r="D6" s="56" t="s">
        <v>211</v>
      </c>
      <c r="E6" s="54" t="s">
        <v>209</v>
      </c>
      <c r="F6" s="128" t="s">
        <v>267</v>
      </c>
      <c r="G6" s="54">
        <v>6.5</v>
      </c>
      <c r="H6" s="54">
        <v>0</v>
      </c>
      <c r="I6" s="54" t="s">
        <v>209</v>
      </c>
      <c r="J6" s="54">
        <v>4</v>
      </c>
      <c r="K6" s="55">
        <v>2.5</v>
      </c>
      <c r="L6" s="54" t="s">
        <v>209</v>
      </c>
      <c r="M6" s="54">
        <v>6.5</v>
      </c>
      <c r="N6" s="427">
        <v>0.29166666666666702</v>
      </c>
      <c r="O6" s="427">
        <v>0.95833333333333404</v>
      </c>
      <c r="P6" s="320">
        <f>DATE(Start!$D$2,5,1)</f>
        <v>45413</v>
      </c>
    </row>
    <row r="7" spans="1:16">
      <c r="A7" s="250" t="s">
        <v>86</v>
      </c>
      <c r="B7" s="250">
        <v>7</v>
      </c>
      <c r="C7" s="250">
        <v>7</v>
      </c>
      <c r="D7" s="56" t="s">
        <v>87</v>
      </c>
      <c r="E7" s="250" t="s">
        <v>86</v>
      </c>
      <c r="F7" s="128" t="s">
        <v>268</v>
      </c>
      <c r="G7" s="250">
        <v>7</v>
      </c>
      <c r="H7" s="54">
        <v>0</v>
      </c>
      <c r="I7" s="250" t="s">
        <v>86</v>
      </c>
      <c r="J7" s="54">
        <v>5</v>
      </c>
      <c r="K7" s="55">
        <v>3</v>
      </c>
      <c r="L7" s="250" t="s">
        <v>86</v>
      </c>
      <c r="M7" s="250">
        <v>7</v>
      </c>
      <c r="N7" s="427">
        <v>0.30208333333333298</v>
      </c>
      <c r="O7" s="427">
        <v>0.96875</v>
      </c>
      <c r="P7" s="320">
        <f>DATE(Start!$D$2,6,1)</f>
        <v>45444</v>
      </c>
    </row>
    <row r="8" spans="1:16">
      <c r="A8" s="54" t="s">
        <v>213</v>
      </c>
      <c r="B8" s="54">
        <v>7.5</v>
      </c>
      <c r="C8" s="54">
        <v>7.5</v>
      </c>
      <c r="D8" s="56" t="s">
        <v>219</v>
      </c>
      <c r="E8" s="54" t="s">
        <v>213</v>
      </c>
      <c r="F8" s="128" t="s">
        <v>269</v>
      </c>
      <c r="G8" s="54">
        <v>7.5</v>
      </c>
      <c r="H8" s="54">
        <v>0</v>
      </c>
      <c r="I8" s="54" t="s">
        <v>213</v>
      </c>
      <c r="J8" s="54">
        <v>6</v>
      </c>
      <c r="K8" s="55">
        <v>3.5</v>
      </c>
      <c r="L8" s="54" t="s">
        <v>213</v>
      </c>
      <c r="M8" s="54">
        <v>7.5</v>
      </c>
      <c r="N8" s="427">
        <v>0.3125</v>
      </c>
      <c r="O8" s="427">
        <v>0.97916666666666696</v>
      </c>
      <c r="P8" s="320">
        <f>DATE(Start!$D$2,7,1)</f>
        <v>45474</v>
      </c>
    </row>
    <row r="9" spans="1:16">
      <c r="A9" s="250" t="s">
        <v>71</v>
      </c>
      <c r="B9" s="250">
        <v>8</v>
      </c>
      <c r="C9" s="250">
        <v>8</v>
      </c>
      <c r="D9" s="56" t="s">
        <v>67</v>
      </c>
      <c r="E9" s="250" t="s">
        <v>71</v>
      </c>
      <c r="F9" s="128" t="s">
        <v>270</v>
      </c>
      <c r="G9" s="250">
        <v>8</v>
      </c>
      <c r="H9" s="54">
        <v>0</v>
      </c>
      <c r="I9" s="250" t="s">
        <v>71</v>
      </c>
      <c r="J9" s="54">
        <v>7</v>
      </c>
      <c r="K9" s="55">
        <v>4</v>
      </c>
      <c r="L9" s="250" t="s">
        <v>71</v>
      </c>
      <c r="M9" s="250">
        <v>8</v>
      </c>
      <c r="N9" s="427">
        <v>0.32291666666666702</v>
      </c>
      <c r="O9" s="427">
        <v>0.98958333333333404</v>
      </c>
      <c r="P9" s="320">
        <f>DATE(Start!$D$2,8,1)</f>
        <v>45505</v>
      </c>
    </row>
    <row r="10" spans="1:16">
      <c r="A10" s="54" t="s">
        <v>214</v>
      </c>
      <c r="B10" s="54">
        <v>8.5</v>
      </c>
      <c r="C10" s="54">
        <v>8.5</v>
      </c>
      <c r="D10" s="56" t="s">
        <v>220</v>
      </c>
      <c r="E10" s="54" t="s">
        <v>214</v>
      </c>
      <c r="F10" s="128" t="s">
        <v>271</v>
      </c>
      <c r="G10" s="54">
        <v>8.5</v>
      </c>
      <c r="H10" s="54">
        <v>0</v>
      </c>
      <c r="I10" s="54" t="s">
        <v>214</v>
      </c>
      <c r="J10" s="54">
        <v>8</v>
      </c>
      <c r="K10" s="55">
        <v>4.5</v>
      </c>
      <c r="L10" s="54" t="s">
        <v>214</v>
      </c>
      <c r="M10" s="54">
        <v>8.5</v>
      </c>
      <c r="N10" s="427">
        <v>0.33333333333333298</v>
      </c>
      <c r="O10" s="427">
        <v>1</v>
      </c>
      <c r="P10" s="320">
        <f>DATE(Start!$D$2,9,1)</f>
        <v>45536</v>
      </c>
    </row>
    <row r="11" spans="1:16">
      <c r="A11" s="250" t="s">
        <v>84</v>
      </c>
      <c r="B11" s="250">
        <v>9</v>
      </c>
      <c r="C11" s="250">
        <v>9</v>
      </c>
      <c r="D11" s="56" t="s">
        <v>85</v>
      </c>
      <c r="E11" s="250" t="s">
        <v>84</v>
      </c>
      <c r="F11" s="128" t="s">
        <v>272</v>
      </c>
      <c r="G11" s="250">
        <v>9</v>
      </c>
      <c r="H11" s="54">
        <v>0</v>
      </c>
      <c r="I11" s="250" t="s">
        <v>84</v>
      </c>
      <c r="J11" s="54">
        <v>9</v>
      </c>
      <c r="K11" s="55">
        <v>5</v>
      </c>
      <c r="L11" s="250" t="s">
        <v>84</v>
      </c>
      <c r="M11" s="250">
        <v>9</v>
      </c>
      <c r="N11" s="427">
        <v>0.34375</v>
      </c>
      <c r="O11" s="427">
        <v>1.0104166666666701</v>
      </c>
      <c r="P11" s="320">
        <f>DATE(Start!$D$2,10,1)</f>
        <v>45566</v>
      </c>
    </row>
    <row r="12" spans="1:16">
      <c r="A12" s="54" t="s">
        <v>215</v>
      </c>
      <c r="B12" s="54">
        <v>9.5</v>
      </c>
      <c r="C12" s="54">
        <v>9.5</v>
      </c>
      <c r="D12" s="56" t="s">
        <v>221</v>
      </c>
      <c r="E12" s="54" t="s">
        <v>215</v>
      </c>
      <c r="F12" s="128" t="s">
        <v>273</v>
      </c>
      <c r="G12" s="54">
        <v>9.5</v>
      </c>
      <c r="H12" s="54">
        <v>0</v>
      </c>
      <c r="I12" s="54" t="s">
        <v>215</v>
      </c>
      <c r="J12" s="54">
        <v>19</v>
      </c>
      <c r="K12" s="55">
        <v>5.5</v>
      </c>
      <c r="L12" s="54" t="s">
        <v>215</v>
      </c>
      <c r="M12" s="54">
        <v>9.5</v>
      </c>
      <c r="N12" s="427">
        <v>0.35416666666666702</v>
      </c>
      <c r="O12" s="427">
        <v>1.0208333333333299</v>
      </c>
      <c r="P12" s="320">
        <f>DATE(Start!$D$2,11,1)</f>
        <v>45597</v>
      </c>
    </row>
    <row r="13" spans="1:16">
      <c r="A13" s="54" t="s">
        <v>413</v>
      </c>
      <c r="B13" s="250">
        <v>10</v>
      </c>
      <c r="C13" s="250">
        <v>10</v>
      </c>
      <c r="D13" s="56" t="s">
        <v>414</v>
      </c>
      <c r="E13" s="54" t="s">
        <v>413</v>
      </c>
      <c r="F13" s="128" t="s">
        <v>274</v>
      </c>
      <c r="G13" s="250">
        <v>10</v>
      </c>
      <c r="H13" s="54">
        <v>0</v>
      </c>
      <c r="I13" s="54" t="s">
        <v>413</v>
      </c>
      <c r="J13" s="54">
        <v>11</v>
      </c>
      <c r="K13" s="55">
        <v>6</v>
      </c>
      <c r="L13" s="54" t="s">
        <v>413</v>
      </c>
      <c r="M13" s="250">
        <v>10</v>
      </c>
      <c r="N13" s="427">
        <v>0.36458333333333398</v>
      </c>
      <c r="O13" s="427">
        <v>1.03125</v>
      </c>
      <c r="P13" s="320">
        <f>DATE(Start!$D$2,12,1)</f>
        <v>45627</v>
      </c>
    </row>
    <row r="14" spans="1:16">
      <c r="A14" s="54" t="s">
        <v>216</v>
      </c>
      <c r="B14" s="54">
        <v>10.5</v>
      </c>
      <c r="C14" s="54">
        <v>10.5</v>
      </c>
      <c r="D14" s="56" t="s">
        <v>222</v>
      </c>
      <c r="E14" s="54" t="s">
        <v>216</v>
      </c>
      <c r="F14" s="128" t="s">
        <v>275</v>
      </c>
      <c r="G14" s="54">
        <v>10.5</v>
      </c>
      <c r="H14" s="54">
        <v>0</v>
      </c>
      <c r="I14" s="54" t="s">
        <v>216</v>
      </c>
      <c r="J14" s="54">
        <v>12</v>
      </c>
      <c r="K14" s="55">
        <v>6.5</v>
      </c>
      <c r="L14" s="54" t="s">
        <v>216</v>
      </c>
      <c r="M14" s="54">
        <v>10.5</v>
      </c>
      <c r="N14" s="427">
        <v>0.375</v>
      </c>
      <c r="O14" s="427">
        <v>1.0416666666666701</v>
      </c>
      <c r="P14" s="320">
        <f>DATE(Start!$D$2+1,1,1)</f>
        <v>45658</v>
      </c>
    </row>
    <row r="15" spans="1:16">
      <c r="A15" s="54" t="s">
        <v>217</v>
      </c>
      <c r="B15" s="54">
        <v>11</v>
      </c>
      <c r="C15" s="54">
        <v>11</v>
      </c>
      <c r="D15" s="56" t="s">
        <v>223</v>
      </c>
      <c r="E15" s="54" t="s">
        <v>217</v>
      </c>
      <c r="F15" s="128" t="s">
        <v>276</v>
      </c>
      <c r="G15" s="54">
        <v>11</v>
      </c>
      <c r="H15" s="54">
        <v>0</v>
      </c>
      <c r="I15" s="54" t="s">
        <v>217</v>
      </c>
      <c r="J15" s="54">
        <v>13</v>
      </c>
      <c r="K15" s="55">
        <v>7</v>
      </c>
      <c r="L15" s="54" t="s">
        <v>217</v>
      </c>
      <c r="M15" s="54">
        <v>11</v>
      </c>
      <c r="N15" s="427">
        <v>0.38541666666666702</v>
      </c>
      <c r="O15" s="427">
        <v>1.0520833333333299</v>
      </c>
      <c r="P15" s="320">
        <f>DATE(Start!$D$2+1,2,1)</f>
        <v>45689</v>
      </c>
    </row>
    <row r="16" spans="1:16">
      <c r="A16" s="250" t="s">
        <v>210</v>
      </c>
      <c r="B16" s="250">
        <v>11.5</v>
      </c>
      <c r="C16" s="250">
        <v>11.5</v>
      </c>
      <c r="D16" s="56" t="s">
        <v>212</v>
      </c>
      <c r="E16" s="250" t="s">
        <v>210</v>
      </c>
      <c r="F16" s="128" t="s">
        <v>277</v>
      </c>
      <c r="G16" s="250">
        <v>11.5</v>
      </c>
      <c r="H16" s="54">
        <v>0</v>
      </c>
      <c r="I16" s="250" t="s">
        <v>210</v>
      </c>
      <c r="J16" s="54">
        <v>14</v>
      </c>
      <c r="K16" s="55">
        <v>7.5</v>
      </c>
      <c r="L16" s="250" t="s">
        <v>210</v>
      </c>
      <c r="M16" s="250">
        <v>11.5</v>
      </c>
      <c r="N16" s="427">
        <v>0.39583333333333398</v>
      </c>
      <c r="O16" s="427">
        <v>1.0625</v>
      </c>
      <c r="P16" s="320">
        <f>DATE(Start!$D$2+1,3,1)</f>
        <v>45717</v>
      </c>
    </row>
    <row r="17" spans="1:16">
      <c r="A17" s="54" t="s">
        <v>218</v>
      </c>
      <c r="B17" s="54">
        <v>12</v>
      </c>
      <c r="C17" s="54">
        <v>12</v>
      </c>
      <c r="D17" s="56" t="s">
        <v>224</v>
      </c>
      <c r="E17" s="54" t="s">
        <v>218</v>
      </c>
      <c r="F17" s="128" t="s">
        <v>278</v>
      </c>
      <c r="G17" s="54">
        <v>12</v>
      </c>
      <c r="H17" s="54">
        <v>0</v>
      </c>
      <c r="I17" s="54" t="s">
        <v>218</v>
      </c>
      <c r="J17" s="54">
        <v>15</v>
      </c>
      <c r="K17" s="55">
        <v>8</v>
      </c>
      <c r="L17" s="54" t="s">
        <v>218</v>
      </c>
      <c r="M17" s="54">
        <v>12</v>
      </c>
      <c r="N17" s="427">
        <v>0.40625</v>
      </c>
      <c r="O17" s="427">
        <v>1.0729166666666701</v>
      </c>
      <c r="P17" s="320">
        <f>DATE(Start!$D$2+1,4,1)</f>
        <v>45748</v>
      </c>
    </row>
    <row r="18" spans="1:16">
      <c r="A18" s="250" t="s">
        <v>119</v>
      </c>
      <c r="B18" s="250">
        <v>12.5</v>
      </c>
      <c r="C18" s="250">
        <v>12.5</v>
      </c>
      <c r="D18" s="56" t="s">
        <v>120</v>
      </c>
      <c r="E18" s="250" t="s">
        <v>119</v>
      </c>
      <c r="F18" s="128" t="s">
        <v>279</v>
      </c>
      <c r="G18" s="250">
        <v>12.5</v>
      </c>
      <c r="H18" s="54">
        <v>0</v>
      </c>
      <c r="I18" s="250" t="s">
        <v>119</v>
      </c>
      <c r="K18" s="55">
        <v>8.5</v>
      </c>
      <c r="L18" s="250" t="s">
        <v>119</v>
      </c>
      <c r="M18" s="250">
        <v>12.5</v>
      </c>
      <c r="N18" s="427">
        <v>0.41666666666666702</v>
      </c>
      <c r="O18" s="427">
        <v>1.0833333333333299</v>
      </c>
      <c r="P18" s="320">
        <f>DATE(Start!$D$2+1,5,1)</f>
        <v>45778</v>
      </c>
    </row>
    <row r="19" spans="1:16">
      <c r="A19" s="54" t="s">
        <v>17</v>
      </c>
      <c r="B19" s="54">
        <v>25</v>
      </c>
      <c r="C19" s="54">
        <v>25</v>
      </c>
      <c r="D19" s="56" t="s">
        <v>70</v>
      </c>
      <c r="E19" s="54" t="s">
        <v>17</v>
      </c>
      <c r="F19" s="56" t="s">
        <v>182</v>
      </c>
      <c r="G19" s="54">
        <v>0</v>
      </c>
      <c r="H19" s="54">
        <v>2</v>
      </c>
      <c r="I19" s="54" t="s">
        <v>17</v>
      </c>
      <c r="J19" s="54"/>
      <c r="K19" s="55">
        <v>9</v>
      </c>
      <c r="L19" s="54" t="s">
        <v>17</v>
      </c>
      <c r="M19" s="54">
        <v>0</v>
      </c>
      <c r="N19" s="427">
        <v>0.42708333333333398</v>
      </c>
      <c r="O19" s="427">
        <v>1.09375</v>
      </c>
      <c r="P19" s="320">
        <f>DATE(Start!$D$2+1,6,1)</f>
        <v>45809</v>
      </c>
    </row>
    <row r="20" spans="1:16">
      <c r="A20" s="250" t="s">
        <v>121</v>
      </c>
      <c r="B20" s="250">
        <v>12.5</v>
      </c>
      <c r="C20" s="250">
        <v>12.5</v>
      </c>
      <c r="D20" s="56" t="s">
        <v>122</v>
      </c>
      <c r="E20" s="54" t="s">
        <v>121</v>
      </c>
      <c r="F20" s="56" t="s">
        <v>183</v>
      </c>
      <c r="G20" s="54">
        <v>0</v>
      </c>
      <c r="H20" s="54">
        <v>2</v>
      </c>
      <c r="I20" s="250" t="s">
        <v>121</v>
      </c>
      <c r="J20" s="54"/>
      <c r="K20" s="55">
        <v>9.5</v>
      </c>
      <c r="L20" s="250" t="s">
        <v>121</v>
      </c>
      <c r="M20" s="250">
        <v>0</v>
      </c>
      <c r="N20" s="427">
        <v>0.4375</v>
      </c>
      <c r="O20" s="427">
        <v>1.1041666666666701</v>
      </c>
      <c r="P20" s="320">
        <f>DATE(Start!$D$2+1,7,1)</f>
        <v>45839</v>
      </c>
    </row>
    <row r="21" spans="1:16">
      <c r="A21" s="54" t="s">
        <v>18</v>
      </c>
      <c r="B21" s="54" t="s">
        <v>19</v>
      </c>
      <c r="C21" s="428">
        <f>Gehalt!$E$38</f>
        <v>8</v>
      </c>
      <c r="D21" s="56" t="s">
        <v>20</v>
      </c>
      <c r="E21" s="54" t="s">
        <v>18</v>
      </c>
      <c r="F21" s="51" t="s">
        <v>177</v>
      </c>
      <c r="G21" s="54">
        <v>0</v>
      </c>
      <c r="H21" s="449">
        <f>-Gehalt!$E$38</f>
        <v>-8</v>
      </c>
      <c r="I21" s="250" t="s">
        <v>22</v>
      </c>
      <c r="J21" s="200" t="s">
        <v>383</v>
      </c>
      <c r="K21" s="55">
        <v>10</v>
      </c>
      <c r="L21" s="54" t="s">
        <v>18</v>
      </c>
      <c r="M21" s="54">
        <v>0</v>
      </c>
      <c r="N21" s="427">
        <v>0.44791666666666702</v>
      </c>
      <c r="O21" s="427">
        <v>1.1145833333333299</v>
      </c>
      <c r="P21" s="320">
        <f>DATE(Start!$D$2+1,8,1)</f>
        <v>45870</v>
      </c>
    </row>
    <row r="22" spans="1:16">
      <c r="A22" s="54" t="s">
        <v>21</v>
      </c>
      <c r="B22" s="54">
        <v>0</v>
      </c>
      <c r="C22" s="428">
        <f>Gehalt!$E$38</f>
        <v>8</v>
      </c>
      <c r="D22" s="56" t="s">
        <v>127</v>
      </c>
      <c r="E22" s="54" t="s">
        <v>21</v>
      </c>
      <c r="F22" s="51" t="s">
        <v>178</v>
      </c>
      <c r="G22" s="54">
        <v>0</v>
      </c>
      <c r="H22" s="449">
        <f>-Gehalt!$E$38</f>
        <v>-8</v>
      </c>
      <c r="I22" s="54" t="s">
        <v>69</v>
      </c>
      <c r="J22" s="55">
        <v>1</v>
      </c>
      <c r="K22" s="55">
        <v>10.5</v>
      </c>
      <c r="L22" s="54" t="s">
        <v>21</v>
      </c>
      <c r="M22" s="54">
        <v>0</v>
      </c>
      <c r="N22" s="427">
        <v>0.45833333333333398</v>
      </c>
      <c r="O22" s="427">
        <v>1.125</v>
      </c>
      <c r="P22" s="320">
        <f>DATE(Start!$D$2+1,9,1)</f>
        <v>45901</v>
      </c>
    </row>
    <row r="23" spans="1:16">
      <c r="A23" s="250" t="s">
        <v>131</v>
      </c>
      <c r="B23" s="250">
        <v>0</v>
      </c>
      <c r="C23" s="428">
        <f>Gehalt!$E$38</f>
        <v>8</v>
      </c>
      <c r="D23" s="56" t="s">
        <v>128</v>
      </c>
      <c r="E23" s="250" t="s">
        <v>131</v>
      </c>
      <c r="F23" s="51" t="s">
        <v>179</v>
      </c>
      <c r="G23" s="54">
        <v>0</v>
      </c>
      <c r="H23" s="449">
        <f>-Gehalt!$E$38</f>
        <v>-8</v>
      </c>
      <c r="I23" s="56"/>
      <c r="J23" s="55">
        <v>2</v>
      </c>
      <c r="K23" s="55">
        <v>11</v>
      </c>
      <c r="L23" s="250" t="s">
        <v>131</v>
      </c>
      <c r="M23" s="54">
        <v>0</v>
      </c>
      <c r="N23" s="427">
        <v>0.46875</v>
      </c>
      <c r="O23" s="427">
        <v>1.1354166666666701</v>
      </c>
      <c r="P23" s="320">
        <f>DATE(Start!$D$2+1,10,1)</f>
        <v>45931</v>
      </c>
    </row>
    <row r="24" spans="1:16">
      <c r="A24" s="250" t="s">
        <v>23</v>
      </c>
      <c r="B24" s="250" t="s">
        <v>19</v>
      </c>
      <c r="C24" s="428">
        <f>Gehalt!$E$38</f>
        <v>8</v>
      </c>
      <c r="D24" s="56" t="s">
        <v>24</v>
      </c>
      <c r="E24" s="54" t="s">
        <v>111</v>
      </c>
      <c r="F24" s="51" t="s">
        <v>112</v>
      </c>
      <c r="G24" s="54">
        <v>0</v>
      </c>
      <c r="H24" s="54">
        <v>0</v>
      </c>
      <c r="I24" s="56"/>
      <c r="J24" s="55">
        <v>3</v>
      </c>
      <c r="K24" s="55">
        <v>11.5</v>
      </c>
      <c r="L24" s="250" t="s">
        <v>23</v>
      </c>
      <c r="M24" s="54">
        <v>0</v>
      </c>
      <c r="N24" s="427">
        <v>0.47916666666666702</v>
      </c>
      <c r="O24" s="427">
        <v>1.1458333333333299</v>
      </c>
      <c r="P24" s="320">
        <f>DATE(Start!$D$2+1,11,1)</f>
        <v>45962</v>
      </c>
    </row>
    <row r="25" spans="1:16">
      <c r="A25" s="250" t="s">
        <v>22</v>
      </c>
      <c r="B25" s="250" t="s">
        <v>19</v>
      </c>
      <c r="C25" s="428">
        <f>Gehalt!$E$38</f>
        <v>8</v>
      </c>
      <c r="D25" s="56" t="s">
        <v>76</v>
      </c>
      <c r="E25" s="54" t="s">
        <v>22</v>
      </c>
      <c r="F25" s="51" t="s">
        <v>180</v>
      </c>
      <c r="G25" s="54">
        <v>0</v>
      </c>
      <c r="H25" s="54">
        <v>0</v>
      </c>
      <c r="I25" s="56"/>
      <c r="J25" s="55">
        <v>4</v>
      </c>
      <c r="K25" s="55">
        <v>12</v>
      </c>
      <c r="L25" s="250" t="s">
        <v>22</v>
      </c>
      <c r="M25" s="54">
        <v>0</v>
      </c>
      <c r="N25" s="427">
        <v>0.48958333333333398</v>
      </c>
      <c r="O25" s="427">
        <v>1.15625</v>
      </c>
      <c r="P25" s="320">
        <f>DATE(Start!$D$2+1,12,1)</f>
        <v>45992</v>
      </c>
    </row>
    <row r="26" spans="1:16">
      <c r="A26" s="250" t="s">
        <v>132</v>
      </c>
      <c r="B26" s="250">
        <v>0</v>
      </c>
      <c r="C26" s="428">
        <f>Gehalt!$E$38</f>
        <v>8</v>
      </c>
      <c r="D26" s="56" t="s">
        <v>133</v>
      </c>
      <c r="E26" s="54" t="s">
        <v>132</v>
      </c>
      <c r="F26" s="56" t="s">
        <v>133</v>
      </c>
      <c r="G26" s="54">
        <v>0</v>
      </c>
      <c r="H26" s="449">
        <f>-Gehalt!$E$38</f>
        <v>-8</v>
      </c>
      <c r="J26" s="55">
        <v>5</v>
      </c>
      <c r="K26" s="55">
        <v>12.5</v>
      </c>
      <c r="L26" s="250" t="s">
        <v>132</v>
      </c>
      <c r="M26" s="54">
        <v>0</v>
      </c>
      <c r="N26" s="427">
        <v>0.5</v>
      </c>
      <c r="O26" s="427">
        <v>1.1666666666666701</v>
      </c>
      <c r="P26" s="320">
        <f>DATE(Start!$D$2+2,1,1)</f>
        <v>46023</v>
      </c>
    </row>
    <row r="27" spans="1:16">
      <c r="A27" s="250" t="s">
        <v>69</v>
      </c>
      <c r="B27" s="250" t="s">
        <v>19</v>
      </c>
      <c r="C27" s="428">
        <f>Gehalt!$E$38</f>
        <v>8</v>
      </c>
      <c r="D27" s="56" t="s">
        <v>118</v>
      </c>
      <c r="E27" s="54" t="s">
        <v>69</v>
      </c>
      <c r="F27" s="51" t="s">
        <v>181</v>
      </c>
      <c r="G27" s="54">
        <v>0</v>
      </c>
      <c r="H27" s="54">
        <v>0</v>
      </c>
      <c r="K27" s="55">
        <v>13</v>
      </c>
      <c r="L27" s="250" t="s">
        <v>69</v>
      </c>
      <c r="M27" s="54">
        <v>0</v>
      </c>
      <c r="N27" s="427">
        <v>0.51041666666666696</v>
      </c>
      <c r="O27" s="427">
        <v>1.1770833333333399</v>
      </c>
      <c r="P27" s="320">
        <f>DATE(Start!$D$2+2,2,1)</f>
        <v>46054</v>
      </c>
    </row>
    <row r="28" spans="1:16">
      <c r="A28" s="250" t="s">
        <v>126</v>
      </c>
      <c r="B28" s="250">
        <v>0</v>
      </c>
      <c r="C28" s="250">
        <v>0</v>
      </c>
      <c r="D28" s="56" t="s">
        <v>425</v>
      </c>
      <c r="E28" s="54" t="s">
        <v>126</v>
      </c>
      <c r="F28" s="56" t="s">
        <v>138</v>
      </c>
      <c r="G28" s="54">
        <v>0</v>
      </c>
      <c r="H28" s="54">
        <v>0</v>
      </c>
      <c r="I28" s="56"/>
      <c r="K28" s="55">
        <v>13.5</v>
      </c>
      <c r="L28" s="250" t="s">
        <v>126</v>
      </c>
      <c r="M28" s="54">
        <v>0</v>
      </c>
      <c r="N28" s="427">
        <v>0.52083333333333404</v>
      </c>
      <c r="O28" s="427">
        <v>1.1875</v>
      </c>
      <c r="P28" s="320">
        <f>DATE(Start!$D$2+2,3,1)</f>
        <v>46082</v>
      </c>
    </row>
    <row r="29" spans="1:16">
      <c r="A29" s="54" t="s">
        <v>280</v>
      </c>
      <c r="B29" s="54">
        <v>0</v>
      </c>
      <c r="C29" s="54">
        <v>0</v>
      </c>
      <c r="D29" s="51" t="s">
        <v>281</v>
      </c>
      <c r="E29" s="54" t="s">
        <v>280</v>
      </c>
      <c r="G29" s="54">
        <v>0</v>
      </c>
      <c r="H29" s="54">
        <v>0</v>
      </c>
      <c r="I29" s="56"/>
      <c r="K29" s="55">
        <v>14</v>
      </c>
      <c r="L29" s="54" t="s">
        <v>280</v>
      </c>
      <c r="M29" s="54">
        <v>0</v>
      </c>
      <c r="N29" s="427">
        <v>0.53125</v>
      </c>
      <c r="O29" s="427">
        <v>1.1979166666666701</v>
      </c>
      <c r="P29" s="320">
        <f>DATE(Start!$D$2+2,4,1)</f>
        <v>46113</v>
      </c>
    </row>
    <row r="30" spans="1:16">
      <c r="A30" s="54" t="s">
        <v>357</v>
      </c>
      <c r="B30" s="54">
        <v>0</v>
      </c>
      <c r="C30" s="54">
        <v>0</v>
      </c>
      <c r="D30" s="51" t="s">
        <v>358</v>
      </c>
      <c r="E30" s="54" t="s">
        <v>357</v>
      </c>
      <c r="G30" s="54">
        <v>0</v>
      </c>
      <c r="H30" s="54">
        <v>0</v>
      </c>
      <c r="I30" s="56"/>
      <c r="K30" s="55">
        <v>14.5</v>
      </c>
      <c r="L30" s="54" t="s">
        <v>357</v>
      </c>
      <c r="M30" s="54">
        <v>0</v>
      </c>
      <c r="N30" s="427">
        <v>0.54166666666666696</v>
      </c>
      <c r="O30" s="427">
        <v>1.2083333333333399</v>
      </c>
      <c r="P30" s="320">
        <f>DATE(Start!$D$2+2,5,1)</f>
        <v>46143</v>
      </c>
    </row>
    <row r="31" spans="1:16">
      <c r="A31" s="479" t="s">
        <v>415</v>
      </c>
      <c r="B31" s="250" t="s">
        <v>19</v>
      </c>
      <c r="C31" s="428">
        <f>Gehalt!$E$38</f>
        <v>8</v>
      </c>
      <c r="D31" s="51" t="s">
        <v>416</v>
      </c>
      <c r="G31" s="54">
        <v>0</v>
      </c>
      <c r="H31" s="54">
        <v>0</v>
      </c>
      <c r="K31" s="55">
        <v>15</v>
      </c>
      <c r="L31" s="54"/>
      <c r="M31" s="54"/>
      <c r="N31" s="427">
        <v>0.55208333333333404</v>
      </c>
      <c r="O31" s="427">
        <v>1.21875</v>
      </c>
      <c r="P31" s="320">
        <f>DATE(Start!$D$2+2,6,1)</f>
        <v>46174</v>
      </c>
    </row>
    <row r="32" spans="1:16">
      <c r="A32" s="130"/>
      <c r="B32" s="54"/>
      <c r="C32" s="128"/>
      <c r="H32" s="54"/>
      <c r="K32" s="55">
        <v>15.5</v>
      </c>
      <c r="L32" s="54"/>
      <c r="M32" s="54"/>
      <c r="N32" s="427">
        <v>0.562500000000001</v>
      </c>
      <c r="O32" s="427">
        <v>1.2291666666666701</v>
      </c>
      <c r="P32" s="320">
        <f>DATE(Start!$D$2+2,7,1)</f>
        <v>46204</v>
      </c>
    </row>
    <row r="33" spans="1:16">
      <c r="A33" s="130"/>
      <c r="B33" s="250"/>
      <c r="C33" s="128"/>
      <c r="H33" s="54"/>
      <c r="K33" s="55">
        <v>16</v>
      </c>
      <c r="L33" s="54"/>
      <c r="M33" s="54"/>
      <c r="N33" s="427">
        <v>0.57291666666666696</v>
      </c>
      <c r="O33" s="427">
        <v>1.2395833333333399</v>
      </c>
      <c r="P33" s="320">
        <f>DATE(Start!$D$2+2,8,1)</f>
        <v>46235</v>
      </c>
    </row>
    <row r="34" spans="1:16">
      <c r="A34" s="130"/>
      <c r="B34" s="250"/>
      <c r="C34" s="128"/>
      <c r="H34" s="54"/>
      <c r="K34" s="55">
        <v>16.5</v>
      </c>
      <c r="L34" s="54"/>
      <c r="M34" s="54"/>
      <c r="N34" s="427">
        <v>0.58333333333333404</v>
      </c>
      <c r="O34" s="427">
        <v>1.25</v>
      </c>
      <c r="P34" s="320">
        <f>DATE(Start!$D$2+2,9,1)</f>
        <v>46266</v>
      </c>
    </row>
    <row r="35" spans="1:16">
      <c r="A35" s="130"/>
      <c r="B35" s="250"/>
      <c r="C35" s="128"/>
      <c r="H35" s="54"/>
      <c r="K35" s="55">
        <v>17</v>
      </c>
      <c r="L35" s="54"/>
      <c r="M35" s="54"/>
      <c r="N35" s="427">
        <v>0.593750000000001</v>
      </c>
      <c r="P35" s="320">
        <f>DATE(Start!$D$2+2,10,1)</f>
        <v>46296</v>
      </c>
    </row>
    <row r="36" spans="1:16">
      <c r="A36" s="130"/>
      <c r="B36" s="250"/>
      <c r="C36" s="128"/>
      <c r="H36" s="54"/>
      <c r="K36" s="55">
        <v>17.5</v>
      </c>
      <c r="L36" s="54"/>
      <c r="M36" s="54"/>
      <c r="N36" s="427">
        <v>0.60416666666666696</v>
      </c>
      <c r="P36" s="320">
        <f>DATE(Start!$D$2+2,11,1)</f>
        <v>46327</v>
      </c>
    </row>
    <row r="37" spans="1:16">
      <c r="A37" s="130"/>
      <c r="B37" s="250"/>
      <c r="C37" s="128"/>
      <c r="H37" s="54"/>
      <c r="K37" s="55">
        <v>18</v>
      </c>
      <c r="L37" s="54"/>
      <c r="M37" s="54"/>
      <c r="N37" s="427">
        <v>0.61458333333333404</v>
      </c>
      <c r="P37" s="320">
        <f>DATE(Start!$D$2+2,12,1)</f>
        <v>46357</v>
      </c>
    </row>
    <row r="38" spans="1:16">
      <c r="A38" s="130"/>
      <c r="B38" s="250"/>
      <c r="C38" s="128"/>
      <c r="K38" s="55">
        <v>18.5</v>
      </c>
      <c r="L38" s="54"/>
      <c r="M38" s="54"/>
      <c r="N38" s="427">
        <v>0.625000000000001</v>
      </c>
      <c r="P38" s="320">
        <f>DATE(Start!$D$2+3,1,1)</f>
        <v>46388</v>
      </c>
    </row>
    <row r="39" spans="1:16">
      <c r="B39" s="54"/>
      <c r="K39" s="55">
        <v>19</v>
      </c>
      <c r="L39" s="54"/>
      <c r="M39" s="54"/>
      <c r="N39" s="427">
        <v>0.63541666666666696</v>
      </c>
      <c r="P39" s="320">
        <f>DATE(Start!$D$2+3,2,1)</f>
        <v>46419</v>
      </c>
    </row>
    <row r="40" spans="1:16">
      <c r="B40" s="54"/>
      <c r="K40" s="55">
        <v>19.5</v>
      </c>
      <c r="L40" s="54"/>
      <c r="M40" s="54"/>
      <c r="N40" s="427">
        <v>0.64583333333333404</v>
      </c>
      <c r="P40" s="320">
        <f>DATE(Start!$D$2+3,3,1)</f>
        <v>46447</v>
      </c>
    </row>
    <row r="41" spans="1:16">
      <c r="A41" s="130"/>
      <c r="B41" s="250"/>
      <c r="K41" s="55">
        <v>20</v>
      </c>
      <c r="L41" s="54"/>
      <c r="M41" s="54"/>
      <c r="N41" s="427">
        <v>0.656250000000001</v>
      </c>
      <c r="P41" s="320">
        <f>DATE(Start!$D$2+3,4,1)</f>
        <v>46478</v>
      </c>
    </row>
    <row r="42" spans="1:16">
      <c r="A42" s="130"/>
      <c r="B42" s="128"/>
      <c r="K42" s="55">
        <v>20.5</v>
      </c>
      <c r="L42" s="54"/>
      <c r="M42" s="54"/>
      <c r="N42" s="427">
        <v>0.66666666666666696</v>
      </c>
      <c r="P42" s="320">
        <f>DATE(Start!$D$2+3,5,1)</f>
        <v>46508</v>
      </c>
    </row>
    <row r="43" spans="1:16">
      <c r="A43" s="130"/>
      <c r="B43" s="128"/>
      <c r="C43" s="128"/>
      <c r="K43" s="55">
        <v>21</v>
      </c>
      <c r="L43" s="54"/>
      <c r="M43" s="54"/>
      <c r="N43" s="427">
        <v>0.67708333333333404</v>
      </c>
      <c r="P43" s="320">
        <f>DATE(Start!$D$2+3,6,1)</f>
        <v>46539</v>
      </c>
    </row>
    <row r="44" spans="1:16">
      <c r="A44" s="130"/>
      <c r="B44" s="128"/>
      <c r="C44" s="128"/>
      <c r="K44" s="55">
        <v>21.5</v>
      </c>
      <c r="L44" s="54"/>
      <c r="M44" s="54"/>
      <c r="N44" s="427">
        <v>0.687500000000001</v>
      </c>
      <c r="P44" s="320">
        <f>DATE(Start!$D$2+3,7,1)</f>
        <v>46569</v>
      </c>
    </row>
    <row r="45" spans="1:16">
      <c r="A45" s="130"/>
      <c r="B45" s="128"/>
      <c r="C45" s="128"/>
      <c r="K45" s="55">
        <v>22</v>
      </c>
      <c r="L45" s="54"/>
      <c r="M45" s="54"/>
      <c r="N45" s="427">
        <v>0.69791666666666696</v>
      </c>
      <c r="P45" s="320">
        <f>DATE(Start!$D$2+3,8,1)</f>
        <v>46600</v>
      </c>
    </row>
    <row r="46" spans="1:16">
      <c r="A46" s="130"/>
      <c r="B46" s="128"/>
      <c r="C46" s="128"/>
      <c r="K46" s="55">
        <v>22.5</v>
      </c>
      <c r="L46" s="54"/>
      <c r="M46" s="54"/>
      <c r="N46" s="427">
        <v>0.70833333333333404</v>
      </c>
      <c r="P46" s="320">
        <f>DATE(Start!$D$2+3,9,1)</f>
        <v>46631</v>
      </c>
    </row>
    <row r="47" spans="1:16">
      <c r="A47" s="130"/>
      <c r="B47" s="128"/>
      <c r="C47" s="128"/>
      <c r="K47" s="55">
        <v>23</v>
      </c>
      <c r="L47" s="54"/>
      <c r="M47" s="54"/>
      <c r="N47" s="427">
        <v>0.718750000000001</v>
      </c>
      <c r="P47" s="320">
        <f>DATE(Start!$D$2+3,10,1)</f>
        <v>46661</v>
      </c>
    </row>
    <row r="48" spans="1:16" s="51" customFormat="1" thickBot="1">
      <c r="A48" s="433"/>
      <c r="B48" s="434"/>
      <c r="C48" s="434"/>
      <c r="D48" s="431"/>
      <c r="E48" s="431"/>
      <c r="F48" s="431"/>
      <c r="G48" s="431"/>
      <c r="H48" s="431"/>
      <c r="I48" s="431"/>
      <c r="J48" s="431"/>
      <c r="K48" s="55">
        <v>23.5</v>
      </c>
      <c r="L48" s="54"/>
      <c r="M48" s="54"/>
      <c r="N48" s="427">
        <v>0.72916666666666796</v>
      </c>
      <c r="O48" s="55"/>
      <c r="P48" s="320">
        <f>DATE(Start!$D$2+3,11,1)</f>
        <v>46692</v>
      </c>
    </row>
    <row r="49" spans="1:16" ht="16" thickTop="1">
      <c r="A49" s="429" t="s">
        <v>368</v>
      </c>
      <c r="B49" s="128"/>
      <c r="C49" s="128"/>
      <c r="F49" s="133"/>
      <c r="J49" s="438"/>
      <c r="K49" s="55">
        <v>24</v>
      </c>
      <c r="L49" s="54"/>
      <c r="M49" s="54"/>
      <c r="N49" s="427">
        <v>0.73958333333333404</v>
      </c>
      <c r="P49" s="320">
        <f>DATE(Start!$D$2+3,12,1)</f>
        <v>46722</v>
      </c>
    </row>
    <row r="50" spans="1:16">
      <c r="A50" s="130"/>
      <c r="F50" s="200"/>
      <c r="G50" s="55"/>
      <c r="H50" s="55"/>
      <c r="I50" s="55"/>
      <c r="J50" s="439"/>
      <c r="K50" s="55">
        <v>24.5</v>
      </c>
      <c r="L50" s="55"/>
      <c r="M50" s="55"/>
      <c r="N50" s="427">
        <v>0.750000000000001</v>
      </c>
      <c r="P50" s="320">
        <f>DATE(Start!$D$2+4,1,1)</f>
        <v>46753</v>
      </c>
    </row>
    <row r="51" spans="1:16">
      <c r="A51" s="639" t="s">
        <v>327</v>
      </c>
      <c r="B51" s="640"/>
      <c r="C51" s="641"/>
      <c r="F51" s="128"/>
      <c r="G51" s="141"/>
      <c r="H51" s="223"/>
      <c r="I51" s="223"/>
      <c r="J51" s="439"/>
      <c r="K51" s="55">
        <v>25</v>
      </c>
      <c r="L51" s="223"/>
      <c r="M51" s="223"/>
      <c r="N51" s="427">
        <v>0.76041666666666796</v>
      </c>
      <c r="P51" s="320">
        <f>DATE(Start!$D$2+4,2,1)</f>
        <v>46784</v>
      </c>
    </row>
    <row r="52" spans="1:16">
      <c r="A52" s="435" t="s">
        <v>328</v>
      </c>
      <c r="C52" s="408">
        <v>200</v>
      </c>
      <c r="D52" s="51" t="s">
        <v>291</v>
      </c>
      <c r="G52" s="141"/>
      <c r="H52" s="223"/>
      <c r="I52" s="223"/>
      <c r="J52" s="439"/>
      <c r="K52" s="55">
        <v>25.5</v>
      </c>
      <c r="L52" s="223"/>
      <c r="M52" s="223"/>
      <c r="N52" s="427">
        <v>0.77083333333333404</v>
      </c>
      <c r="P52" s="320">
        <f>DATE(Start!$D$2+4,3,1)</f>
        <v>46813</v>
      </c>
    </row>
    <row r="53" spans="1:16">
      <c r="A53" s="435" t="s">
        <v>372</v>
      </c>
      <c r="C53" s="407">
        <v>214</v>
      </c>
      <c r="D53" s="51" t="s">
        <v>292</v>
      </c>
      <c r="G53" s="141"/>
      <c r="H53" s="223"/>
      <c r="I53" s="223"/>
      <c r="J53" s="439"/>
      <c r="K53" s="55">
        <v>26</v>
      </c>
      <c r="L53" s="223"/>
      <c r="M53" s="223"/>
      <c r="N53" s="427">
        <v>0.781250000000001</v>
      </c>
      <c r="P53" s="320">
        <f>DATE(Start!$D$2+4,4,1)</f>
        <v>46844</v>
      </c>
    </row>
    <row r="54" spans="1:16">
      <c r="A54" s="435" t="s">
        <v>373</v>
      </c>
      <c r="C54" s="407">
        <v>240</v>
      </c>
      <c r="G54" s="141"/>
      <c r="H54" s="223"/>
      <c r="I54" s="223"/>
      <c r="J54" s="439"/>
      <c r="K54" s="55">
        <v>26.5</v>
      </c>
      <c r="L54" s="223"/>
      <c r="M54" s="223"/>
      <c r="N54" s="427">
        <v>0.79166666666666796</v>
      </c>
      <c r="P54" s="320">
        <f>DATE(Start!$D$2+4,5,1)</f>
        <v>46874</v>
      </c>
    </row>
    <row r="55" spans="1:16">
      <c r="A55" s="435" t="s">
        <v>374</v>
      </c>
      <c r="C55" s="408">
        <v>264</v>
      </c>
      <c r="G55" s="141"/>
      <c r="H55" s="223"/>
      <c r="I55" s="223"/>
      <c r="J55" s="439"/>
      <c r="K55" s="55">
        <v>27</v>
      </c>
      <c r="L55" s="223"/>
      <c r="M55" s="223"/>
      <c r="N55" s="427">
        <v>0.80208333333333404</v>
      </c>
      <c r="P55" s="320">
        <f>DATE(Start!$D$2+4,6,1)</f>
        <v>46905</v>
      </c>
    </row>
    <row r="56" spans="1:16">
      <c r="A56" s="436" t="s">
        <v>375</v>
      </c>
      <c r="B56" s="131"/>
      <c r="C56" s="437">
        <v>280</v>
      </c>
      <c r="F56" s="128"/>
      <c r="G56" s="141"/>
      <c r="H56" s="223"/>
      <c r="I56" s="223"/>
      <c r="J56" s="439"/>
      <c r="K56" s="55">
        <v>27.5</v>
      </c>
      <c r="L56" s="223"/>
      <c r="M56" s="223"/>
      <c r="N56" s="427">
        <v>0.812500000000001</v>
      </c>
      <c r="P56" s="320">
        <f>DATE(Start!$D$2+4,7,1)</f>
        <v>46935</v>
      </c>
    </row>
    <row r="57" spans="1:16">
      <c r="A57" s="54"/>
      <c r="B57" s="128"/>
      <c r="C57" s="132"/>
      <c r="G57" s="141"/>
      <c r="H57" s="223"/>
      <c r="I57" s="223"/>
      <c r="J57" s="440"/>
      <c r="K57" s="55">
        <v>28</v>
      </c>
      <c r="L57" s="223"/>
      <c r="M57" s="223"/>
      <c r="N57" s="427">
        <v>0.82291666666666796</v>
      </c>
      <c r="P57" s="320">
        <f>DATE(Start!$D$2+4,8,1)</f>
        <v>46966</v>
      </c>
    </row>
    <row r="58" spans="1:16">
      <c r="A58" s="54"/>
      <c r="C58" s="132"/>
      <c r="D58" s="51" t="s">
        <v>145</v>
      </c>
      <c r="F58" s="128"/>
      <c r="G58" s="141"/>
      <c r="H58" s="223"/>
      <c r="I58" s="223"/>
      <c r="J58" s="440"/>
      <c r="K58" s="55">
        <v>28.5</v>
      </c>
      <c r="L58" s="223"/>
      <c r="M58" s="223"/>
      <c r="N58" s="427">
        <v>0.83333333333333404</v>
      </c>
      <c r="P58" s="320">
        <f>DATE(Start!$D$2+4,9,1)</f>
        <v>46997</v>
      </c>
    </row>
    <row r="59" spans="1:16">
      <c r="A59" s="54"/>
      <c r="B59" s="128"/>
      <c r="C59" s="132"/>
      <c r="D59" s="51" t="s">
        <v>146</v>
      </c>
      <c r="G59" s="141"/>
      <c r="H59" s="223"/>
      <c r="I59" s="223"/>
      <c r="J59" s="440"/>
      <c r="K59" s="55">
        <v>29</v>
      </c>
      <c r="L59" s="223"/>
      <c r="M59" s="223"/>
      <c r="N59" s="427">
        <v>0.843750000000001</v>
      </c>
      <c r="P59" s="320">
        <f>DATE(Start!$D$2+4,10,1)</f>
        <v>47027</v>
      </c>
    </row>
    <row r="60" spans="1:16">
      <c r="A60" s="54"/>
      <c r="C60" s="132"/>
      <c r="F60" s="128"/>
      <c r="G60" s="141"/>
      <c r="H60" s="223"/>
      <c r="I60" s="223"/>
      <c r="J60" s="440"/>
      <c r="K60" s="55">
        <v>29.5</v>
      </c>
      <c r="L60" s="223"/>
      <c r="M60" s="223"/>
      <c r="N60" s="427">
        <v>0.85416666666666796</v>
      </c>
      <c r="P60" s="320">
        <f>DATE(Start!$D$2+4,11,1)</f>
        <v>47058</v>
      </c>
    </row>
    <row r="61" spans="1:16">
      <c r="A61" s="54"/>
      <c r="B61" s="128"/>
      <c r="C61" s="132"/>
      <c r="G61" s="141"/>
      <c r="H61" s="223"/>
      <c r="I61" s="223"/>
      <c r="J61" s="440"/>
      <c r="K61" s="55">
        <v>30</v>
      </c>
      <c r="L61" s="223"/>
      <c r="M61" s="223"/>
      <c r="N61" s="427">
        <v>0.86458333333333404</v>
      </c>
      <c r="P61" s="320">
        <f>DATE(Start!$D$2+4,12,1)</f>
        <v>47088</v>
      </c>
    </row>
    <row r="62" spans="1:16">
      <c r="A62" s="54"/>
      <c r="C62" s="132"/>
      <c r="F62" s="128"/>
      <c r="G62" s="141"/>
      <c r="H62" s="223"/>
      <c r="I62" s="223"/>
      <c r="J62" s="440"/>
      <c r="K62" s="55">
        <v>30.5</v>
      </c>
      <c r="L62" s="223"/>
      <c r="M62" s="223"/>
      <c r="N62" s="427">
        <v>0.875000000000001</v>
      </c>
    </row>
    <row r="63" spans="1:16">
      <c r="A63" s="54"/>
      <c r="B63" s="128"/>
      <c r="C63" s="132"/>
      <c r="G63" s="141"/>
      <c r="H63" s="223"/>
      <c r="I63" s="223"/>
      <c r="J63" s="440"/>
      <c r="K63" s="55">
        <v>31</v>
      </c>
      <c r="L63" s="223"/>
      <c r="M63" s="223"/>
      <c r="N63" s="427">
        <v>0.88541666666666796</v>
      </c>
    </row>
    <row r="64" spans="1:16">
      <c r="A64" s="54"/>
      <c r="C64" s="132"/>
      <c r="G64" s="141"/>
      <c r="H64" s="223"/>
      <c r="I64" s="223"/>
      <c r="J64" s="440"/>
      <c r="K64" s="55">
        <v>31.5</v>
      </c>
      <c r="L64" s="223"/>
      <c r="M64" s="223"/>
      <c r="N64" s="427">
        <v>0.89583333333333404</v>
      </c>
    </row>
    <row r="65" spans="1:15">
      <c r="A65" s="54"/>
      <c r="C65" s="132"/>
      <c r="F65" s="128"/>
      <c r="G65" s="141"/>
      <c r="H65" s="223"/>
      <c r="I65" s="223"/>
      <c r="J65" s="440"/>
      <c r="K65" s="55">
        <v>32</v>
      </c>
      <c r="L65" s="223"/>
      <c r="M65" s="223"/>
      <c r="N65" s="427">
        <v>0.906250000000001</v>
      </c>
    </row>
    <row r="66" spans="1:15">
      <c r="A66" s="54"/>
      <c r="B66" s="128"/>
      <c r="C66" s="132"/>
      <c r="G66" s="141"/>
      <c r="H66" s="223"/>
      <c r="I66" s="223"/>
      <c r="J66" s="440"/>
      <c r="K66" s="55">
        <v>32.5</v>
      </c>
      <c r="L66" s="223"/>
      <c r="M66" s="223"/>
      <c r="N66" s="427">
        <v>0.91666666666666796</v>
      </c>
    </row>
    <row r="67" spans="1:15">
      <c r="A67" s="54"/>
      <c r="C67" s="132"/>
      <c r="F67" s="128"/>
      <c r="G67" s="141"/>
      <c r="H67" s="223"/>
      <c r="I67" s="223"/>
      <c r="J67" s="440"/>
      <c r="K67" s="55">
        <v>33</v>
      </c>
      <c r="L67" s="223"/>
      <c r="M67" s="223"/>
      <c r="N67" s="55"/>
    </row>
    <row r="68" spans="1:15">
      <c r="A68" s="54"/>
      <c r="B68" s="128"/>
      <c r="C68" s="132"/>
      <c r="G68" s="141"/>
      <c r="H68" s="223"/>
      <c r="I68" s="223"/>
      <c r="J68" s="440"/>
      <c r="K68" s="55">
        <v>33.5</v>
      </c>
      <c r="L68" s="223"/>
      <c r="M68" s="223"/>
      <c r="N68" s="55"/>
    </row>
    <row r="69" spans="1:15">
      <c r="A69" s="54"/>
      <c r="C69" s="404"/>
      <c r="F69" s="128"/>
      <c r="G69" s="223"/>
      <c r="H69" s="223"/>
      <c r="I69" s="223"/>
      <c r="J69" s="440"/>
      <c r="K69" s="55">
        <v>34</v>
      </c>
      <c r="L69" s="223"/>
      <c r="M69" s="223"/>
      <c r="N69" s="55"/>
    </row>
    <row r="70" spans="1:15">
      <c r="A70" s="54"/>
      <c r="C70" s="404"/>
      <c r="G70" s="223"/>
      <c r="H70" s="223"/>
      <c r="I70" s="223"/>
      <c r="J70" s="440"/>
      <c r="K70" s="55">
        <v>34.5</v>
      </c>
      <c r="L70" s="223"/>
      <c r="M70" s="223"/>
      <c r="N70" s="55"/>
    </row>
    <row r="71" spans="1:15">
      <c r="A71" s="54"/>
      <c r="C71" s="404"/>
      <c r="F71" s="128"/>
      <c r="G71" s="223"/>
      <c r="H71" s="223"/>
      <c r="I71" s="223"/>
      <c r="J71" s="440"/>
      <c r="K71" s="55">
        <v>35</v>
      </c>
      <c r="L71" s="223"/>
      <c r="M71" s="223"/>
      <c r="N71" s="55"/>
    </row>
    <row r="72" spans="1:15">
      <c r="A72" s="54"/>
      <c r="C72" s="132"/>
      <c r="G72" s="223"/>
      <c r="H72" s="223"/>
      <c r="I72" s="223"/>
      <c r="J72" s="440"/>
      <c r="K72" s="55">
        <v>35.5</v>
      </c>
      <c r="L72" s="223"/>
      <c r="M72" s="223"/>
      <c r="N72" s="55"/>
    </row>
    <row r="73" spans="1:15">
      <c r="A73" s="54"/>
      <c r="C73" s="132"/>
      <c r="F73" s="128"/>
      <c r="G73" s="223"/>
      <c r="H73" s="223"/>
      <c r="I73" s="223"/>
      <c r="J73" s="440"/>
      <c r="K73" s="55">
        <v>36</v>
      </c>
      <c r="L73" s="223"/>
      <c r="M73" s="223"/>
      <c r="N73" s="55"/>
    </row>
    <row r="74" spans="1:15">
      <c r="A74" s="54"/>
      <c r="C74" s="132"/>
      <c r="F74" s="128"/>
      <c r="G74" s="223"/>
      <c r="H74" s="223"/>
      <c r="I74" s="223"/>
      <c r="J74" s="440"/>
      <c r="K74" s="55">
        <v>36.5</v>
      </c>
      <c r="L74" s="223"/>
      <c r="M74" s="223"/>
      <c r="N74" s="55"/>
    </row>
    <row r="75" spans="1:15">
      <c r="A75" s="54"/>
      <c r="C75" s="132"/>
      <c r="F75" s="128"/>
      <c r="G75" s="223"/>
      <c r="H75" s="223"/>
      <c r="I75" s="223"/>
      <c r="J75" s="440"/>
      <c r="K75" s="55">
        <v>37</v>
      </c>
      <c r="L75" s="223"/>
      <c r="M75" s="223"/>
      <c r="N75" s="55"/>
    </row>
    <row r="76" spans="1:15">
      <c r="A76" s="54"/>
      <c r="C76" s="404"/>
      <c r="F76" s="128"/>
      <c r="G76" s="223"/>
      <c r="H76" s="223"/>
      <c r="I76" s="223"/>
      <c r="J76" s="440"/>
      <c r="K76" s="55">
        <v>37.5</v>
      </c>
      <c r="L76" s="223"/>
      <c r="M76" s="223"/>
      <c r="N76" s="55"/>
    </row>
    <row r="77" spans="1:15">
      <c r="C77" s="132"/>
      <c r="F77" s="128"/>
      <c r="G77" s="223"/>
      <c r="H77" s="223"/>
      <c r="I77" s="223"/>
      <c r="J77" s="440"/>
      <c r="K77" s="55">
        <v>38</v>
      </c>
      <c r="L77" s="223"/>
      <c r="M77" s="223"/>
      <c r="N77" s="55"/>
    </row>
    <row r="78" spans="1:15">
      <c r="C78" s="132"/>
      <c r="F78" s="128"/>
      <c r="G78" s="223"/>
      <c r="H78" s="223"/>
      <c r="I78" s="223"/>
      <c r="J78" s="440"/>
      <c r="K78" s="55">
        <v>38.5</v>
      </c>
      <c r="L78" s="223"/>
      <c r="M78" s="223"/>
      <c r="N78" s="55"/>
    </row>
    <row r="79" spans="1:15" s="51" customFormat="1" thickBot="1">
      <c r="A79" s="430"/>
      <c r="B79" s="431"/>
      <c r="C79" s="432"/>
      <c r="D79" s="431"/>
      <c r="E79" s="431"/>
      <c r="F79" s="431"/>
      <c r="G79" s="431"/>
      <c r="H79" s="431"/>
      <c r="I79" s="431"/>
      <c r="J79" s="441"/>
      <c r="K79" s="55">
        <v>39</v>
      </c>
      <c r="L79" s="54"/>
      <c r="M79" s="54"/>
      <c r="N79" s="55"/>
      <c r="O79" s="55"/>
    </row>
    <row r="80" spans="1:15" ht="16" thickTop="1">
      <c r="A80" s="133" t="s">
        <v>28</v>
      </c>
      <c r="C80" s="129"/>
      <c r="E80" s="133" t="s">
        <v>396</v>
      </c>
      <c r="J80" s="439"/>
      <c r="K80" s="55">
        <v>39.5</v>
      </c>
      <c r="L80" s="54"/>
      <c r="M80" s="54"/>
      <c r="N80" s="55"/>
    </row>
    <row r="81" spans="1:14">
      <c r="J81" s="439"/>
      <c r="K81" s="55">
        <v>40</v>
      </c>
      <c r="L81" s="54"/>
      <c r="M81" s="54"/>
      <c r="N81" s="55"/>
    </row>
    <row r="82" spans="1:14">
      <c r="A82" s="130" t="s">
        <v>25</v>
      </c>
      <c r="B82" s="134">
        <f>Start!$D$2</f>
        <v>2024</v>
      </c>
      <c r="C82" s="54">
        <f>Start!$D$2+1</f>
        <v>2025</v>
      </c>
      <c r="E82" s="130" t="s">
        <v>25</v>
      </c>
      <c r="F82" s="134">
        <f>Start!$D$2</f>
        <v>2024</v>
      </c>
      <c r="J82" s="439"/>
      <c r="K82" s="55">
        <v>40.5</v>
      </c>
      <c r="L82" s="54"/>
      <c r="M82" s="54"/>
      <c r="N82" s="55"/>
    </row>
    <row r="83" spans="1:14">
      <c r="A83" s="130"/>
      <c r="B83" s="135"/>
      <c r="J83" s="439"/>
      <c r="K83" s="55">
        <v>41</v>
      </c>
      <c r="L83" s="54"/>
      <c r="M83" s="54"/>
      <c r="N83" s="55"/>
    </row>
    <row r="84" spans="1:14">
      <c r="A84" s="136" t="s">
        <v>29</v>
      </c>
      <c r="B84" s="137">
        <f>DATE(B82,1,1)</f>
        <v>45292</v>
      </c>
      <c r="C84" s="137">
        <f>DATE(C82,1,1)</f>
        <v>45658</v>
      </c>
      <c r="E84" s="51" t="s">
        <v>397</v>
      </c>
      <c r="F84" s="320">
        <f>$B$86-2</f>
        <v>45380</v>
      </c>
      <c r="J84" s="439"/>
      <c r="K84" s="55">
        <v>41.5</v>
      </c>
      <c r="L84" s="54"/>
      <c r="M84" s="54"/>
      <c r="N84" s="55"/>
    </row>
    <row r="85" spans="1:14">
      <c r="A85" s="136" t="s">
        <v>30</v>
      </c>
      <c r="B85" s="137">
        <f>DATE(B82,1,6)</f>
        <v>45297</v>
      </c>
      <c r="C85" s="137">
        <f>DATE(C82,1,6)</f>
        <v>45663</v>
      </c>
      <c r="E85" s="51" t="s">
        <v>402</v>
      </c>
      <c r="F85" s="137">
        <f>DATE(F82,12,24)</f>
        <v>45650</v>
      </c>
      <c r="J85" s="439"/>
      <c r="K85" s="55">
        <v>42</v>
      </c>
      <c r="L85" s="54"/>
      <c r="M85" s="54"/>
      <c r="N85" s="55"/>
    </row>
    <row r="86" spans="1:14">
      <c r="A86" s="136" t="s">
        <v>31</v>
      </c>
      <c r="B86" s="137">
        <f>DOLLAR((DAY(MINUTE(B82/38)/2+55)&amp;".4."&amp;B82)/7,)*7-IF(YEAR(1)=1904,5,6)</f>
        <v>45382</v>
      </c>
      <c r="C86" s="137">
        <f>DOLLAR((DAY(MINUTE(C82/38)/2+55)&amp;".4."&amp;C82)/7,)*7-IF(YEAR(1)=1904,5,6)</f>
        <v>45767</v>
      </c>
      <c r="E86" s="51" t="s">
        <v>403</v>
      </c>
      <c r="F86" s="137">
        <f>DATE(F82,12,31)</f>
        <v>45657</v>
      </c>
      <c r="J86" s="439"/>
      <c r="K86" s="55">
        <v>42.5</v>
      </c>
      <c r="L86" s="54"/>
      <c r="M86" s="54"/>
      <c r="N86" s="55"/>
    </row>
    <row r="87" spans="1:14">
      <c r="A87" s="136" t="s">
        <v>32</v>
      </c>
      <c r="B87" s="137">
        <f>B86+1</f>
        <v>45383</v>
      </c>
      <c r="C87" s="137">
        <f>C86+1</f>
        <v>45768</v>
      </c>
      <c r="J87" s="439"/>
      <c r="K87" s="55">
        <v>43</v>
      </c>
      <c r="L87" s="54"/>
      <c r="M87" s="54"/>
      <c r="N87" s="55"/>
    </row>
    <row r="88" spans="1:14">
      <c r="A88" s="136" t="s">
        <v>33</v>
      </c>
      <c r="B88" s="137">
        <f>DATE(B82,5,1)</f>
        <v>45413</v>
      </c>
      <c r="C88" s="137">
        <f>DATE(C82,5,1)</f>
        <v>45778</v>
      </c>
      <c r="J88" s="439"/>
      <c r="K88" s="55">
        <v>43.5</v>
      </c>
      <c r="L88" s="54"/>
      <c r="M88" s="54"/>
      <c r="N88" s="55"/>
    </row>
    <row r="89" spans="1:14">
      <c r="A89" s="136" t="s">
        <v>34</v>
      </c>
      <c r="B89" s="137">
        <f>B86+39</f>
        <v>45421</v>
      </c>
      <c r="C89" s="137">
        <f>C86+39</f>
        <v>45806</v>
      </c>
      <c r="J89" s="439"/>
      <c r="K89" s="55">
        <v>44</v>
      </c>
      <c r="L89" s="54"/>
      <c r="M89" s="54"/>
      <c r="N89" s="55"/>
    </row>
    <row r="90" spans="1:14">
      <c r="A90" s="136" t="s">
        <v>35</v>
      </c>
      <c r="B90" s="137">
        <f>B86+50</f>
        <v>45432</v>
      </c>
      <c r="C90" s="137">
        <f>C86+50</f>
        <v>45817</v>
      </c>
      <c r="H90" s="54"/>
      <c r="J90" s="439"/>
      <c r="K90" s="55">
        <v>44.5</v>
      </c>
      <c r="L90" s="54"/>
      <c r="M90" s="54"/>
      <c r="N90" s="55"/>
    </row>
    <row r="91" spans="1:14">
      <c r="A91" s="136" t="s">
        <v>36</v>
      </c>
      <c r="B91" s="137">
        <f>B86+60</f>
        <v>45442</v>
      </c>
      <c r="C91" s="137">
        <f>C86+60</f>
        <v>45827</v>
      </c>
      <c r="G91" s="54"/>
      <c r="H91" s="54"/>
      <c r="I91" s="54"/>
      <c r="J91" s="439"/>
      <c r="K91" s="55">
        <v>45</v>
      </c>
      <c r="L91" s="54"/>
      <c r="M91" s="54"/>
      <c r="N91" s="55"/>
    </row>
    <row r="92" spans="1:14">
      <c r="A92" s="136" t="s">
        <v>37</v>
      </c>
      <c r="B92" s="137">
        <f>DATE(B82,8,15)</f>
        <v>45519</v>
      </c>
      <c r="C92" s="137">
        <f>DATE(C82,8,15)</f>
        <v>45884</v>
      </c>
      <c r="G92" s="54"/>
      <c r="H92" s="54"/>
      <c r="I92" s="54"/>
      <c r="J92" s="439"/>
      <c r="K92" s="55">
        <v>45.5</v>
      </c>
      <c r="L92" s="54"/>
      <c r="M92" s="54"/>
      <c r="N92" s="55"/>
    </row>
    <row r="93" spans="1:14">
      <c r="A93" s="136" t="s">
        <v>38</v>
      </c>
      <c r="B93" s="137">
        <f>DATE(B82,10,26)</f>
        <v>45591</v>
      </c>
      <c r="C93" s="137">
        <f>DATE(C82,10,26)</f>
        <v>45956</v>
      </c>
      <c r="G93" s="54"/>
      <c r="H93" s="54"/>
      <c r="I93" s="54"/>
      <c r="J93" s="439"/>
      <c r="K93" s="55">
        <v>46</v>
      </c>
      <c r="L93" s="54"/>
      <c r="M93" s="54"/>
      <c r="N93" s="55"/>
    </row>
    <row r="94" spans="1:14">
      <c r="A94" s="136" t="s">
        <v>39</v>
      </c>
      <c r="B94" s="137">
        <f>DATE(B82,11,1)</f>
        <v>45597</v>
      </c>
      <c r="C94" s="137">
        <f>DATE(C82,11,1)</f>
        <v>45962</v>
      </c>
      <c r="G94" s="54"/>
      <c r="H94" s="54"/>
      <c r="I94" s="54"/>
      <c r="J94" s="439"/>
      <c r="K94" s="55">
        <v>46.5</v>
      </c>
      <c r="L94" s="54"/>
      <c r="M94" s="54"/>
      <c r="N94" s="55"/>
    </row>
    <row r="95" spans="1:14">
      <c r="A95" s="136" t="s">
        <v>42</v>
      </c>
      <c r="B95" s="137">
        <f>DATE(B82,12,8)</f>
        <v>45634</v>
      </c>
      <c r="C95" s="137">
        <f>DATE(C82,12,8)</f>
        <v>45999</v>
      </c>
      <c r="G95" s="54"/>
      <c r="H95" s="54"/>
      <c r="I95" s="54"/>
      <c r="J95" s="439"/>
      <c r="K95" s="55">
        <v>47</v>
      </c>
      <c r="L95" s="54"/>
      <c r="M95" s="54"/>
      <c r="N95" s="55"/>
    </row>
    <row r="96" spans="1:14">
      <c r="A96" s="136" t="s">
        <v>40</v>
      </c>
      <c r="B96" s="137">
        <f>DATE(B82,12,25)</f>
        <v>45651</v>
      </c>
      <c r="C96" s="137">
        <f>DATE(C82,12,25)</f>
        <v>46016</v>
      </c>
      <c r="G96" s="54"/>
      <c r="H96" s="54"/>
      <c r="I96" s="54"/>
      <c r="J96" s="439"/>
      <c r="K96" s="55">
        <v>47.5</v>
      </c>
      <c r="L96" s="54"/>
      <c r="M96" s="54"/>
      <c r="N96" s="55"/>
    </row>
    <row r="97" spans="1:14">
      <c r="A97" s="136" t="s">
        <v>41</v>
      </c>
      <c r="B97" s="137">
        <f>DATE(B82,12,26)</f>
        <v>45652</v>
      </c>
      <c r="C97" s="137">
        <f>DATE(C82,12,26)</f>
        <v>46017</v>
      </c>
      <c r="G97" s="54"/>
      <c r="H97" s="54"/>
      <c r="I97" s="54"/>
      <c r="J97" s="439"/>
      <c r="K97" s="55">
        <v>48</v>
      </c>
      <c r="L97" s="54"/>
      <c r="M97" s="54"/>
      <c r="N97" s="55"/>
    </row>
    <row r="98" spans="1:14" ht="14.5" customHeight="1">
      <c r="J98" s="439"/>
      <c r="K98" s="55">
        <v>48.5</v>
      </c>
      <c r="L98" s="54"/>
      <c r="M98" s="54"/>
      <c r="N98" s="55"/>
    </row>
    <row r="99" spans="1:14">
      <c r="A99" s="138" t="s">
        <v>58</v>
      </c>
      <c r="B99" s="138" t="s">
        <v>44</v>
      </c>
      <c r="C99" s="138" t="s">
        <v>28</v>
      </c>
      <c r="D99" s="138" t="s">
        <v>73</v>
      </c>
      <c r="E99" s="138" t="s">
        <v>72</v>
      </c>
      <c r="F99" s="138" t="s">
        <v>74</v>
      </c>
      <c r="G99" s="138" t="s">
        <v>242</v>
      </c>
      <c r="H99" s="51" t="s">
        <v>59</v>
      </c>
      <c r="I99" s="55" t="s">
        <v>359</v>
      </c>
      <c r="J99" s="442" t="s">
        <v>129</v>
      </c>
      <c r="K99" s="55">
        <v>49</v>
      </c>
      <c r="L99" s="54"/>
      <c r="M99" s="54"/>
      <c r="N99" s="55"/>
    </row>
    <row r="100" spans="1:14">
      <c r="A100" s="139">
        <f>DATE($B$82,1,1)</f>
        <v>45292</v>
      </c>
      <c r="B100" s="140">
        <f>DAY(DATE(YEAR(A100),MONTH(A100)+1,0))</f>
        <v>31</v>
      </c>
      <c r="C100" s="140">
        <f t="shared" ref="C100:C111" si="0">SUMPRODUCT(($B$84:$B$97&gt;=A100)*($B$84:$B$97&lt;(A100+B100)))</f>
        <v>2</v>
      </c>
      <c r="D100" s="140">
        <f>B100-NETWORKDAYS(A100,A100+(B100-1))</f>
        <v>8</v>
      </c>
      <c r="E100" s="55">
        <f>NETWORKDAYS(A100,A100+(B100-1),$B$84:$B$97)</f>
        <v>22</v>
      </c>
      <c r="F100" s="141">
        <f>(E100-I100)*Gehalt!$E$38</f>
        <v>176</v>
      </c>
      <c r="G100" s="275">
        <f>B100-D100</f>
        <v>23</v>
      </c>
      <c r="H100" s="55" t="s">
        <v>90</v>
      </c>
      <c r="I100" s="54">
        <f>IF(Start!$E$12=5,0,COUNTIF(Jänner!$D$14:$D$44,"FT"))</f>
        <v>0</v>
      </c>
      <c r="J100" s="440">
        <f>(G100-I100)*0.2*48</f>
        <v>220.8</v>
      </c>
      <c r="K100" s="55">
        <v>49.5</v>
      </c>
      <c r="L100" s="54"/>
      <c r="M100" s="54"/>
      <c r="N100" s="55"/>
    </row>
    <row r="101" spans="1:14">
      <c r="A101" s="139">
        <f>DATE($B$82,2,1)</f>
        <v>45323</v>
      </c>
      <c r="B101" s="140">
        <f>DAY(DATE(YEAR(A101),MONTH(A101)+1,0))</f>
        <v>29</v>
      </c>
      <c r="C101" s="140">
        <f t="shared" si="0"/>
        <v>0</v>
      </c>
      <c r="D101" s="140">
        <f t="shared" ref="D101:D111" si="1">B101-NETWORKDAYS(A101,A101+(B101-1))</f>
        <v>8</v>
      </c>
      <c r="E101" s="55">
        <f t="shared" ref="E101:E111" si="2">NETWORKDAYS(A101,A101+(B101-1),$B$84:$B$97)</f>
        <v>21</v>
      </c>
      <c r="F101" s="141">
        <f>(E101-I101)*Gehalt!$E$38</f>
        <v>168</v>
      </c>
      <c r="G101" s="275">
        <f t="shared" ref="G101:G112" si="3">B101-D101</f>
        <v>21</v>
      </c>
      <c r="H101" s="55" t="s">
        <v>2</v>
      </c>
      <c r="I101" s="54">
        <f>IF(Start!$E$12=5,0,COUNTIF(Februar!$D$14:$D$42,"FT"))</f>
        <v>0</v>
      </c>
      <c r="J101" s="440">
        <f t="shared" ref="J101:J111" si="4">(G101-I101)*0.2*48</f>
        <v>201.60000000000002</v>
      </c>
      <c r="K101" s="55">
        <v>50</v>
      </c>
      <c r="L101" s="54"/>
      <c r="M101" s="54"/>
      <c r="N101" s="55"/>
    </row>
    <row r="102" spans="1:14">
      <c r="A102" s="139">
        <f>DATE($B$82,3,1)</f>
        <v>45352</v>
      </c>
      <c r="B102" s="140">
        <f t="shared" ref="B102:B111" si="5">DAY(DATE(YEAR(A102),MONTH(A102)+1,0))</f>
        <v>31</v>
      </c>
      <c r="C102" s="140">
        <f t="shared" si="0"/>
        <v>1</v>
      </c>
      <c r="D102" s="140">
        <f t="shared" si="1"/>
        <v>10</v>
      </c>
      <c r="E102" s="55">
        <f t="shared" si="2"/>
        <v>21</v>
      </c>
      <c r="F102" s="141">
        <f>(E102-I102)*Gehalt!$E$38</f>
        <v>168</v>
      </c>
      <c r="G102" s="275">
        <f t="shared" si="3"/>
        <v>21</v>
      </c>
      <c r="H102" s="55" t="s">
        <v>3</v>
      </c>
      <c r="I102" s="54">
        <f>IF(Start!$E$12=5,0,COUNTIF(März!$D$14:$D$44,"FT"))</f>
        <v>0</v>
      </c>
      <c r="J102" s="440">
        <f t="shared" si="4"/>
        <v>201.60000000000002</v>
      </c>
      <c r="K102" s="55">
        <v>50.5</v>
      </c>
      <c r="L102" s="54"/>
      <c r="M102" s="54"/>
      <c r="N102" s="55"/>
    </row>
    <row r="103" spans="1:14">
      <c r="A103" s="139">
        <f>DATE($B$82,4,1)</f>
        <v>45383</v>
      </c>
      <c r="B103" s="140">
        <f t="shared" si="5"/>
        <v>30</v>
      </c>
      <c r="C103" s="140">
        <f t="shared" si="0"/>
        <v>1</v>
      </c>
      <c r="D103" s="140">
        <f t="shared" si="1"/>
        <v>8</v>
      </c>
      <c r="E103" s="55">
        <f t="shared" si="2"/>
        <v>21</v>
      </c>
      <c r="F103" s="141">
        <f>(E103-I103)*Gehalt!$E$38</f>
        <v>168</v>
      </c>
      <c r="G103" s="275">
        <f t="shared" si="3"/>
        <v>22</v>
      </c>
      <c r="H103" s="55" t="s">
        <v>4</v>
      </c>
      <c r="I103" s="54">
        <f>IF(Start!$E$12=5,0,COUNTIF(April!$D$14:$D$43,"FT"))</f>
        <v>0</v>
      </c>
      <c r="J103" s="440">
        <f t="shared" si="4"/>
        <v>211.20000000000002</v>
      </c>
      <c r="K103" s="55">
        <v>51</v>
      </c>
      <c r="L103" s="54"/>
      <c r="M103" s="54"/>
      <c r="N103" s="55"/>
    </row>
    <row r="104" spans="1:14">
      <c r="A104" s="139">
        <f>DATE($B$82,5,1)</f>
        <v>45413</v>
      </c>
      <c r="B104" s="140">
        <f t="shared" si="5"/>
        <v>31</v>
      </c>
      <c r="C104" s="140">
        <f t="shared" si="0"/>
        <v>4</v>
      </c>
      <c r="D104" s="140">
        <f t="shared" si="1"/>
        <v>8</v>
      </c>
      <c r="E104" s="55">
        <f t="shared" si="2"/>
        <v>19</v>
      </c>
      <c r="F104" s="141">
        <f>(E104-I104)*Gehalt!$E$38</f>
        <v>152</v>
      </c>
      <c r="G104" s="275">
        <f t="shared" si="3"/>
        <v>23</v>
      </c>
      <c r="H104" s="55" t="s">
        <v>5</v>
      </c>
      <c r="I104" s="54">
        <f>IF(Start!$E$12=5,0,COUNTIF(Mai!$D$14:$D$44,"FT"))</f>
        <v>0</v>
      </c>
      <c r="J104" s="440">
        <f t="shared" si="4"/>
        <v>220.8</v>
      </c>
      <c r="K104" s="55">
        <v>51.5</v>
      </c>
      <c r="L104" s="54"/>
      <c r="M104" s="54"/>
      <c r="N104" s="55"/>
    </row>
    <row r="105" spans="1:14">
      <c r="A105" s="139">
        <f>DATE($B$82,6,1)</f>
        <v>45444</v>
      </c>
      <c r="B105" s="140">
        <f t="shared" si="5"/>
        <v>30</v>
      </c>
      <c r="C105" s="140">
        <f t="shared" si="0"/>
        <v>0</v>
      </c>
      <c r="D105" s="140">
        <f t="shared" si="1"/>
        <v>10</v>
      </c>
      <c r="E105" s="55">
        <f t="shared" si="2"/>
        <v>20</v>
      </c>
      <c r="F105" s="141">
        <f>(E105-I105)*Gehalt!$E$38</f>
        <v>160</v>
      </c>
      <c r="G105" s="275">
        <f t="shared" si="3"/>
        <v>20</v>
      </c>
      <c r="H105" s="55" t="s">
        <v>6</v>
      </c>
      <c r="I105" s="54">
        <f>IF(Start!$E$12=5,0,COUNTIF(Juni!$D$14:$D$43,"FT"))</f>
        <v>0</v>
      </c>
      <c r="J105" s="440">
        <f t="shared" si="4"/>
        <v>192</v>
      </c>
      <c r="K105" s="55">
        <v>52</v>
      </c>
      <c r="L105" s="54"/>
      <c r="M105" s="54"/>
      <c r="N105" s="55"/>
    </row>
    <row r="106" spans="1:14">
      <c r="A106" s="139">
        <f>DATE($B$82,7,1)</f>
        <v>45474</v>
      </c>
      <c r="B106" s="140">
        <f t="shared" si="5"/>
        <v>31</v>
      </c>
      <c r="C106" s="140">
        <f t="shared" si="0"/>
        <v>0</v>
      </c>
      <c r="D106" s="140">
        <f t="shared" si="1"/>
        <v>8</v>
      </c>
      <c r="E106" s="55">
        <f t="shared" si="2"/>
        <v>23</v>
      </c>
      <c r="F106" s="141">
        <f>(E106-I106)*Gehalt!$E$38</f>
        <v>184</v>
      </c>
      <c r="G106" s="275">
        <f t="shared" si="3"/>
        <v>23</v>
      </c>
      <c r="H106" s="55" t="s">
        <v>7</v>
      </c>
      <c r="I106" s="54">
        <f>IF(Start!$E$12=5,0,COUNTIF(Juli!$D$14:$D$44,"FT"))</f>
        <v>0</v>
      </c>
      <c r="J106" s="440">
        <f t="shared" si="4"/>
        <v>220.8</v>
      </c>
      <c r="K106" s="55">
        <v>52.5</v>
      </c>
      <c r="L106" s="54"/>
      <c r="M106" s="54"/>
      <c r="N106" s="55"/>
    </row>
    <row r="107" spans="1:14">
      <c r="A107" s="139">
        <f>DATE($B$82,8,1)</f>
        <v>45505</v>
      </c>
      <c r="B107" s="140">
        <f t="shared" si="5"/>
        <v>31</v>
      </c>
      <c r="C107" s="140">
        <f t="shared" si="0"/>
        <v>1</v>
      </c>
      <c r="D107" s="140">
        <f t="shared" si="1"/>
        <v>9</v>
      </c>
      <c r="E107" s="55">
        <f t="shared" si="2"/>
        <v>21</v>
      </c>
      <c r="F107" s="141">
        <f>(E107-I107)*Gehalt!$E$38</f>
        <v>168</v>
      </c>
      <c r="G107" s="275">
        <f t="shared" si="3"/>
        <v>22</v>
      </c>
      <c r="H107" s="55" t="s">
        <v>8</v>
      </c>
      <c r="I107" s="54">
        <f>IF(Start!$E$12=5,0,COUNTIF(August!$D$14:$D$44,"FT"))</f>
        <v>0</v>
      </c>
      <c r="J107" s="440">
        <f t="shared" si="4"/>
        <v>211.20000000000002</v>
      </c>
      <c r="K107" s="55">
        <v>53</v>
      </c>
      <c r="L107" s="54"/>
      <c r="M107" s="54"/>
      <c r="N107" s="55"/>
    </row>
    <row r="108" spans="1:14">
      <c r="A108" s="139">
        <f>DATE($B$82,9,1)</f>
        <v>45536</v>
      </c>
      <c r="B108" s="140">
        <f t="shared" si="5"/>
        <v>30</v>
      </c>
      <c r="C108" s="140">
        <f t="shared" si="0"/>
        <v>0</v>
      </c>
      <c r="D108" s="140">
        <f t="shared" si="1"/>
        <v>9</v>
      </c>
      <c r="E108" s="55">
        <f t="shared" si="2"/>
        <v>21</v>
      </c>
      <c r="F108" s="141">
        <f>(E108-I108)*Gehalt!$E$38</f>
        <v>168</v>
      </c>
      <c r="G108" s="275">
        <f t="shared" si="3"/>
        <v>21</v>
      </c>
      <c r="H108" s="55" t="s">
        <v>9</v>
      </c>
      <c r="I108" s="54">
        <f>IF(Start!$E$12=5,0,COUNTIF(September!$D$14:$D$43,"FT"))</f>
        <v>0</v>
      </c>
      <c r="J108" s="440">
        <f t="shared" si="4"/>
        <v>201.60000000000002</v>
      </c>
      <c r="K108" s="55">
        <v>53.5</v>
      </c>
      <c r="L108" s="54"/>
      <c r="M108" s="54"/>
      <c r="N108" s="55"/>
    </row>
    <row r="109" spans="1:14">
      <c r="A109" s="139">
        <f>DATE($B$82,10,1)</f>
        <v>45566</v>
      </c>
      <c r="B109" s="140">
        <f t="shared" si="5"/>
        <v>31</v>
      </c>
      <c r="C109" s="140">
        <f t="shared" si="0"/>
        <v>1</v>
      </c>
      <c r="D109" s="140">
        <f t="shared" si="1"/>
        <v>8</v>
      </c>
      <c r="E109" s="55">
        <f t="shared" si="2"/>
        <v>23</v>
      </c>
      <c r="F109" s="141">
        <f>(E109-I109)*Gehalt!$E$38</f>
        <v>184</v>
      </c>
      <c r="G109" s="275">
        <f t="shared" si="3"/>
        <v>23</v>
      </c>
      <c r="H109" s="55" t="s">
        <v>10</v>
      </c>
      <c r="I109" s="54">
        <f>IF(Start!$E$12=5,0,COUNTIF(Oktober!$D$14:$D$44,"FT"))</f>
        <v>0</v>
      </c>
      <c r="J109" s="440">
        <f t="shared" si="4"/>
        <v>220.8</v>
      </c>
      <c r="K109" s="55">
        <v>54</v>
      </c>
      <c r="L109" s="54"/>
      <c r="M109" s="54"/>
      <c r="N109" s="55"/>
    </row>
    <row r="110" spans="1:14">
      <c r="A110" s="139">
        <f>DATE($B$82,11,1)</f>
        <v>45597</v>
      </c>
      <c r="B110" s="140">
        <f t="shared" si="5"/>
        <v>30</v>
      </c>
      <c r="C110" s="140">
        <f t="shared" si="0"/>
        <v>1</v>
      </c>
      <c r="D110" s="140">
        <f t="shared" si="1"/>
        <v>9</v>
      </c>
      <c r="E110" s="55">
        <f t="shared" si="2"/>
        <v>20</v>
      </c>
      <c r="F110" s="141">
        <f>(E110-I110)*Gehalt!$E$38</f>
        <v>160</v>
      </c>
      <c r="G110" s="275">
        <f t="shared" si="3"/>
        <v>21</v>
      </c>
      <c r="H110" s="55" t="s">
        <v>11</v>
      </c>
      <c r="I110" s="54">
        <f>IF(Start!$E$12=5,0,COUNTIF(November!$D$14:$D$43,"FT"))</f>
        <v>0</v>
      </c>
      <c r="J110" s="440">
        <f t="shared" si="4"/>
        <v>201.60000000000002</v>
      </c>
      <c r="K110" s="55">
        <v>54.5</v>
      </c>
      <c r="L110" s="54"/>
      <c r="M110" s="54"/>
      <c r="N110" s="55"/>
    </row>
    <row r="111" spans="1:14">
      <c r="A111" s="139">
        <f>DATE($B$82,12,1)</f>
        <v>45627</v>
      </c>
      <c r="B111" s="140">
        <f t="shared" si="5"/>
        <v>31</v>
      </c>
      <c r="C111" s="140">
        <f t="shared" si="0"/>
        <v>3</v>
      </c>
      <c r="D111" s="140">
        <f t="shared" si="1"/>
        <v>9</v>
      </c>
      <c r="E111" s="55">
        <f t="shared" si="2"/>
        <v>20</v>
      </c>
      <c r="F111" s="141">
        <f>(E111-I111)*Gehalt!$E$38</f>
        <v>160</v>
      </c>
      <c r="G111" s="275">
        <f t="shared" si="3"/>
        <v>22</v>
      </c>
      <c r="H111" s="55" t="s">
        <v>12</v>
      </c>
      <c r="I111" s="54">
        <f>IF(Start!$E$12=5,0,COUNTIF(Dezember!$D$14:$D$44,"FT"))</f>
        <v>0</v>
      </c>
      <c r="J111" s="440">
        <f t="shared" si="4"/>
        <v>211.20000000000002</v>
      </c>
      <c r="K111" s="55">
        <v>55</v>
      </c>
      <c r="L111" s="54"/>
      <c r="M111" s="54"/>
      <c r="N111" s="55"/>
    </row>
    <row r="112" spans="1:14">
      <c r="A112" s="284">
        <f>DATE($C$82,1,1)</f>
        <v>45658</v>
      </c>
      <c r="B112" s="140">
        <f t="shared" ref="B112" si="6">DAY(DATE(YEAR(A112),MONTH(A112)+1,0))</f>
        <v>31</v>
      </c>
      <c r="C112" s="140">
        <f>SUMPRODUCT(($C$84:$C$97&gt;=A112)*($C$84:$C$97&lt;(A112+B112)))</f>
        <v>2</v>
      </c>
      <c r="D112" s="140">
        <f t="shared" ref="D112" si="7">B112-NETWORKDAYS(A112,A112+(B112-1))</f>
        <v>8</v>
      </c>
      <c r="E112" s="55">
        <f>NETWORKDAYS(A112,A112+(B112-1),$C$84:$C$97)</f>
        <v>21</v>
      </c>
      <c r="F112" s="141">
        <f>(E112-I112)*Gehalt!$E$38</f>
        <v>168</v>
      </c>
      <c r="G112" s="275">
        <f t="shared" si="3"/>
        <v>23</v>
      </c>
      <c r="H112" s="283" t="s">
        <v>246</v>
      </c>
      <c r="I112" s="54">
        <f>IF(Start!$E$12=5,0,COUNTIF(Jänner.!$D$14:$D$44,"FT"))</f>
        <v>0</v>
      </c>
      <c r="J112" s="440">
        <f>(G112-I112)*0.2*48</f>
        <v>220.8</v>
      </c>
      <c r="K112" s="55">
        <v>55.5</v>
      </c>
      <c r="L112" s="54"/>
      <c r="M112" s="54"/>
      <c r="N112" s="55"/>
    </row>
    <row r="113" spans="1:14">
      <c r="A113" s="139" t="s">
        <v>385</v>
      </c>
      <c r="B113" s="140">
        <f>SUM(B101:B106)</f>
        <v>182</v>
      </c>
      <c r="C113" s="140">
        <f t="shared" ref="C113:E113" si="8">SUM(C101:C106)</f>
        <v>6</v>
      </c>
      <c r="D113" s="140">
        <f t="shared" si="8"/>
        <v>52</v>
      </c>
      <c r="E113" s="140">
        <f t="shared" si="8"/>
        <v>125</v>
      </c>
      <c r="F113" s="140"/>
      <c r="G113" s="276">
        <f>SUM(G101:G106)</f>
        <v>130</v>
      </c>
      <c r="J113" s="439"/>
      <c r="K113" s="55">
        <v>56</v>
      </c>
      <c r="L113" s="54"/>
      <c r="M113" s="54"/>
      <c r="N113" s="55"/>
    </row>
    <row r="114" spans="1:14">
      <c r="A114" s="139" t="s">
        <v>386</v>
      </c>
      <c r="B114" s="140">
        <f>SUM(B107:B112)</f>
        <v>184</v>
      </c>
      <c r="C114" s="140">
        <f t="shared" ref="C114:E114" si="9">SUM(C107:C112)</f>
        <v>8</v>
      </c>
      <c r="D114" s="140">
        <f t="shared" si="9"/>
        <v>52</v>
      </c>
      <c r="E114" s="140">
        <f t="shared" si="9"/>
        <v>126</v>
      </c>
      <c r="F114" s="140"/>
      <c r="G114" s="276">
        <f>SUM(G107:G112)</f>
        <v>132</v>
      </c>
      <c r="J114" s="439"/>
      <c r="K114" s="55">
        <v>56.5</v>
      </c>
      <c r="L114" s="54"/>
      <c r="M114" s="54"/>
      <c r="N114" s="55"/>
    </row>
    <row r="115" spans="1:14">
      <c r="A115" s="139" t="s">
        <v>230</v>
      </c>
      <c r="B115" s="140">
        <f>SUM(B100:B105)</f>
        <v>182</v>
      </c>
      <c r="C115" s="140">
        <f t="shared" ref="C115:E115" si="10">SUM(C100:C105)</f>
        <v>8</v>
      </c>
      <c r="D115" s="140">
        <f t="shared" si="10"/>
        <v>52</v>
      </c>
      <c r="E115" s="140">
        <f t="shared" si="10"/>
        <v>124</v>
      </c>
      <c r="F115" s="140"/>
      <c r="J115" s="439"/>
      <c r="K115" s="55">
        <v>57</v>
      </c>
      <c r="L115" s="54"/>
      <c r="M115" s="54"/>
      <c r="N115" s="55"/>
    </row>
    <row r="116" spans="1:14">
      <c r="A116" s="139" t="s">
        <v>231</v>
      </c>
      <c r="B116" s="140">
        <f>SUM(B107:B112)</f>
        <v>184</v>
      </c>
      <c r="C116" s="140">
        <f t="shared" ref="C116:E116" si="11">SUM(C107:C112)</f>
        <v>8</v>
      </c>
      <c r="D116" s="140">
        <f t="shared" si="11"/>
        <v>52</v>
      </c>
      <c r="E116" s="140">
        <f t="shared" si="11"/>
        <v>126</v>
      </c>
      <c r="F116" s="140"/>
      <c r="J116" s="439"/>
      <c r="K116" s="55">
        <v>57.5</v>
      </c>
      <c r="L116" s="54"/>
      <c r="M116" s="54"/>
      <c r="N116" s="55"/>
    </row>
    <row r="117" spans="1:14">
      <c r="B117" s="133"/>
      <c r="C117" s="638"/>
      <c r="D117" s="638"/>
      <c r="J117" s="439"/>
      <c r="K117" s="55">
        <v>58</v>
      </c>
      <c r="L117" s="54"/>
      <c r="M117" s="54"/>
      <c r="N117" s="55"/>
    </row>
    <row r="118" spans="1:14">
      <c r="A118" s="305"/>
      <c r="B118" s="320"/>
      <c r="C118" s="54"/>
      <c r="D118" s="54"/>
      <c r="E118" s="305"/>
      <c r="F118" s="305"/>
      <c r="J118" s="439"/>
      <c r="K118" s="55">
        <v>58.5</v>
      </c>
      <c r="L118" s="54"/>
      <c r="M118" s="54"/>
      <c r="N118" s="55"/>
    </row>
    <row r="119" spans="1:14">
      <c r="B119" s="320"/>
      <c r="C119" s="54"/>
      <c r="D119" s="403"/>
      <c r="E119" s="320"/>
      <c r="F119" s="320"/>
      <c r="J119" s="439"/>
      <c r="K119" s="55">
        <v>59</v>
      </c>
      <c r="L119" s="54"/>
      <c r="M119" s="54"/>
      <c r="N119" s="55"/>
    </row>
    <row r="120" spans="1:14">
      <c r="A120" s="55"/>
      <c r="B120" s="320"/>
      <c r="C120" s="54"/>
      <c r="D120" s="403"/>
      <c r="E120" s="320"/>
      <c r="F120" s="320"/>
      <c r="J120" s="439"/>
      <c r="K120" s="55">
        <v>59.5</v>
      </c>
      <c r="L120" s="54"/>
      <c r="M120" s="54"/>
      <c r="N120" s="55"/>
    </row>
    <row r="121" spans="1:14">
      <c r="A121" s="55"/>
      <c r="B121" s="320"/>
      <c r="C121" s="54"/>
      <c r="D121" s="54"/>
      <c r="E121" s="320"/>
      <c r="F121" s="320"/>
      <c r="J121" s="439"/>
      <c r="K121" s="55">
        <v>60</v>
      </c>
      <c r="L121" s="54"/>
      <c r="M121" s="54"/>
      <c r="N121" s="55"/>
    </row>
    <row r="122" spans="1:14">
      <c r="A122" s="55"/>
      <c r="B122" s="320"/>
      <c r="C122" s="54"/>
      <c r="D122" s="54"/>
      <c r="E122" s="320"/>
      <c r="F122" s="320"/>
      <c r="J122" s="439"/>
      <c r="K122" s="55">
        <v>60.5</v>
      </c>
      <c r="L122" s="54"/>
      <c r="M122" s="54"/>
      <c r="N122" s="55"/>
    </row>
    <row r="123" spans="1:14">
      <c r="A123" s="55"/>
      <c r="B123" s="320"/>
      <c r="D123" s="321"/>
      <c r="E123" s="320"/>
      <c r="F123" s="320"/>
      <c r="J123" s="439"/>
      <c r="K123" s="55">
        <v>61</v>
      </c>
      <c r="L123" s="54"/>
      <c r="M123" s="54"/>
      <c r="N123" s="55"/>
    </row>
    <row r="124" spans="1:14">
      <c r="A124" s="55"/>
      <c r="B124" s="320"/>
      <c r="D124" s="321"/>
      <c r="E124" s="320"/>
      <c r="F124" s="320"/>
      <c r="J124" s="439"/>
      <c r="K124" s="55">
        <v>61.5</v>
      </c>
      <c r="L124" s="54"/>
      <c r="M124" s="54"/>
      <c r="N124" s="55"/>
    </row>
    <row r="125" spans="1:14">
      <c r="A125" s="55"/>
      <c r="B125" s="320"/>
      <c r="D125" s="321"/>
      <c r="E125" s="320"/>
      <c r="F125" s="320"/>
      <c r="J125" s="439"/>
      <c r="K125" s="55">
        <v>62</v>
      </c>
      <c r="L125" s="54"/>
      <c r="M125" s="54"/>
      <c r="N125" s="55"/>
    </row>
    <row r="126" spans="1:14">
      <c r="A126" s="55"/>
      <c r="B126" s="320"/>
      <c r="D126" s="321"/>
      <c r="E126" s="320"/>
      <c r="F126" s="320"/>
      <c r="J126" s="439"/>
      <c r="K126" s="55">
        <v>62.5</v>
      </c>
      <c r="L126" s="54"/>
      <c r="M126" s="54"/>
      <c r="N126" s="55"/>
    </row>
    <row r="127" spans="1:14">
      <c r="A127" s="55"/>
      <c r="B127" s="320"/>
      <c r="D127" s="321"/>
      <c r="E127" s="320"/>
      <c r="F127" s="320"/>
      <c r="J127" s="439"/>
      <c r="K127" s="55">
        <v>63</v>
      </c>
      <c r="L127" s="54"/>
      <c r="M127" s="54"/>
      <c r="N127" s="55"/>
    </row>
    <row r="128" spans="1:14">
      <c r="A128" s="55"/>
      <c r="B128" s="320"/>
      <c r="D128" s="321"/>
      <c r="E128" s="320"/>
      <c r="F128" s="320"/>
      <c r="J128" s="439"/>
      <c r="K128" s="55">
        <v>63.5</v>
      </c>
      <c r="L128" s="54"/>
      <c r="M128" s="54"/>
      <c r="N128" s="55"/>
    </row>
    <row r="129" spans="1:14">
      <c r="A129" s="55"/>
      <c r="B129" s="320"/>
      <c r="D129" s="321"/>
      <c r="E129" s="320"/>
      <c r="F129" s="320"/>
      <c r="J129" s="439"/>
      <c r="K129" s="55">
        <v>64</v>
      </c>
      <c r="L129" s="54"/>
      <c r="M129" s="54"/>
      <c r="N129" s="55"/>
    </row>
    <row r="130" spans="1:14">
      <c r="A130" s="55"/>
      <c r="B130" s="320"/>
      <c r="D130" s="321"/>
      <c r="E130" s="320"/>
      <c r="F130" s="320"/>
      <c r="J130" s="439"/>
      <c r="K130" s="55">
        <v>64.5</v>
      </c>
      <c r="L130" s="54"/>
      <c r="M130" s="54"/>
      <c r="N130" s="55"/>
    </row>
    <row r="131" spans="1:14">
      <c r="A131" s="55"/>
      <c r="B131" s="320"/>
      <c r="D131" s="321"/>
      <c r="E131" s="320"/>
      <c r="F131" s="320"/>
      <c r="J131" s="439"/>
      <c r="K131" s="55">
        <v>65</v>
      </c>
      <c r="L131" s="54"/>
      <c r="M131" s="54"/>
      <c r="N131" s="55"/>
    </row>
    <row r="132" spans="1:14">
      <c r="A132" s="55"/>
      <c r="B132" s="320"/>
      <c r="D132" s="321"/>
      <c r="E132" s="320"/>
      <c r="F132" s="320"/>
      <c r="J132" s="439"/>
      <c r="K132" s="55">
        <v>65.5</v>
      </c>
      <c r="L132" s="54"/>
      <c r="M132" s="54"/>
      <c r="N132" s="55"/>
    </row>
    <row r="133" spans="1:14">
      <c r="A133" s="55"/>
      <c r="B133" s="320"/>
      <c r="D133" s="321"/>
      <c r="E133" s="320"/>
      <c r="F133" s="320"/>
      <c r="J133" s="439"/>
      <c r="K133" s="55">
        <v>66</v>
      </c>
      <c r="L133" s="54"/>
      <c r="M133" s="54"/>
      <c r="N133" s="55"/>
    </row>
    <row r="134" spans="1:14">
      <c r="A134" s="55"/>
      <c r="B134" s="320"/>
      <c r="D134" s="321"/>
      <c r="E134" s="320"/>
      <c r="F134" s="320"/>
      <c r="J134" s="439"/>
      <c r="K134" s="55">
        <v>66.5</v>
      </c>
      <c r="L134" s="54"/>
      <c r="M134" s="54"/>
      <c r="N134" s="55"/>
    </row>
    <row r="135" spans="1:14">
      <c r="B135" s="320"/>
      <c r="D135" s="321"/>
      <c r="E135" s="320"/>
      <c r="F135" s="320"/>
      <c r="J135" s="439"/>
      <c r="K135" s="55">
        <v>67</v>
      </c>
      <c r="L135" s="54"/>
      <c r="M135" s="54"/>
      <c r="N135" s="55"/>
    </row>
    <row r="136" spans="1:14">
      <c r="B136" s="320"/>
      <c r="D136" s="321"/>
      <c r="E136" s="320"/>
      <c r="F136" s="320"/>
      <c r="J136" s="439"/>
      <c r="K136" s="55">
        <v>67.5</v>
      </c>
      <c r="L136" s="54"/>
      <c r="M136" s="54"/>
      <c r="N136" s="55"/>
    </row>
    <row r="137" spans="1:14">
      <c r="B137" s="320"/>
      <c r="D137" s="321"/>
      <c r="E137" s="320"/>
      <c r="F137" s="320"/>
      <c r="J137" s="439"/>
      <c r="K137" s="55">
        <v>68</v>
      </c>
      <c r="L137" s="54"/>
      <c r="M137" s="54"/>
      <c r="N137" s="55"/>
    </row>
    <row r="138" spans="1:14">
      <c r="B138" s="320"/>
      <c r="D138" s="321"/>
      <c r="E138" s="320"/>
      <c r="F138" s="320"/>
      <c r="J138" s="439"/>
      <c r="K138" s="55">
        <v>68.5</v>
      </c>
      <c r="L138" s="54"/>
      <c r="M138" s="54"/>
      <c r="N138" s="55"/>
    </row>
    <row r="139" spans="1:14">
      <c r="B139" s="320"/>
      <c r="D139" s="321"/>
      <c r="E139" s="320"/>
      <c r="F139" s="320"/>
      <c r="J139" s="439"/>
      <c r="K139" s="55">
        <v>69</v>
      </c>
      <c r="L139" s="54"/>
      <c r="M139" s="54"/>
      <c r="N139" s="55"/>
    </row>
    <row r="140" spans="1:14">
      <c r="B140" s="320"/>
      <c r="D140" s="321"/>
      <c r="E140" s="320"/>
      <c r="F140" s="320"/>
      <c r="J140" s="439"/>
      <c r="K140" s="55">
        <v>69.5</v>
      </c>
      <c r="L140" s="54"/>
      <c r="M140" s="54"/>
      <c r="N140" s="55"/>
    </row>
    <row r="141" spans="1:14">
      <c r="B141" s="320"/>
      <c r="D141" s="321"/>
      <c r="E141" s="320"/>
      <c r="F141" s="320"/>
      <c r="J141" s="439"/>
      <c r="K141" s="55">
        <v>70</v>
      </c>
      <c r="L141" s="54"/>
      <c r="M141" s="54"/>
      <c r="N141" s="55"/>
    </row>
    <row r="142" spans="1:14">
      <c r="B142" s="320"/>
      <c r="D142" s="321"/>
      <c r="E142" s="320"/>
      <c r="F142" s="320"/>
      <c r="J142" s="439"/>
      <c r="K142" s="55">
        <v>70.5</v>
      </c>
      <c r="L142" s="54"/>
      <c r="M142" s="54"/>
      <c r="N142" s="55"/>
    </row>
    <row r="143" spans="1:14">
      <c r="B143" s="320"/>
      <c r="D143" s="321"/>
      <c r="E143" s="320"/>
      <c r="F143" s="320"/>
      <c r="J143" s="439"/>
      <c r="K143" s="55">
        <v>71</v>
      </c>
      <c r="L143" s="54"/>
      <c r="M143" s="54"/>
      <c r="N143" s="55"/>
    </row>
    <row r="144" spans="1:14">
      <c r="B144" s="320"/>
      <c r="C144" s="320"/>
      <c r="D144" s="321"/>
      <c r="E144" s="320"/>
      <c r="F144" s="320"/>
      <c r="J144" s="439"/>
      <c r="K144" s="55">
        <v>71.5</v>
      </c>
      <c r="L144" s="54"/>
      <c r="M144" s="54"/>
      <c r="N144" s="55"/>
    </row>
    <row r="145" spans="2:14">
      <c r="B145" s="320"/>
      <c r="D145" s="321"/>
      <c r="E145" s="320"/>
      <c r="F145" s="320"/>
      <c r="J145" s="439"/>
      <c r="K145" s="55">
        <v>72</v>
      </c>
      <c r="L145" s="54"/>
      <c r="M145" s="54"/>
      <c r="N145" s="55"/>
    </row>
    <row r="146" spans="2:14">
      <c r="B146" s="320"/>
      <c r="D146" s="321"/>
      <c r="E146" s="320"/>
      <c r="F146" s="320"/>
      <c r="J146" s="439"/>
      <c r="K146" s="55">
        <v>72.5</v>
      </c>
      <c r="L146" s="54"/>
      <c r="M146" s="54"/>
      <c r="N146" s="55"/>
    </row>
    <row r="147" spans="2:14">
      <c r="B147" s="320"/>
      <c r="D147" s="321"/>
      <c r="E147" s="320"/>
      <c r="F147" s="320"/>
      <c r="J147" s="439"/>
      <c r="K147" s="55">
        <v>73</v>
      </c>
      <c r="L147" s="54"/>
      <c r="M147" s="54"/>
      <c r="N147" s="55"/>
    </row>
    <row r="148" spans="2:14">
      <c r="B148" s="320"/>
      <c r="D148" s="321"/>
      <c r="E148" s="320"/>
      <c r="F148" s="320"/>
      <c r="J148" s="439"/>
      <c r="K148" s="55">
        <v>73.5</v>
      </c>
      <c r="L148" s="54"/>
      <c r="M148" s="54"/>
      <c r="N148" s="55"/>
    </row>
    <row r="149" spans="2:14">
      <c r="B149" s="320"/>
      <c r="D149" s="321"/>
      <c r="E149" s="320"/>
      <c r="F149" s="320"/>
      <c r="J149" s="439"/>
      <c r="K149" s="55">
        <v>74</v>
      </c>
      <c r="L149" s="54"/>
      <c r="M149" s="54"/>
      <c r="N149" s="55"/>
    </row>
    <row r="150" spans="2:14">
      <c r="B150" s="320"/>
      <c r="J150" s="439"/>
      <c r="K150" s="55">
        <v>74.5</v>
      </c>
      <c r="L150" s="54"/>
      <c r="M150" s="54"/>
      <c r="N150" s="55"/>
    </row>
    <row r="151" spans="2:14">
      <c r="B151" s="320"/>
      <c r="J151" s="439"/>
      <c r="K151" s="55">
        <v>75</v>
      </c>
      <c r="L151" s="54"/>
      <c r="M151" s="54"/>
      <c r="N151" s="55"/>
    </row>
    <row r="152" spans="2:14">
      <c r="B152" s="320"/>
      <c r="J152" s="439"/>
      <c r="K152" s="55">
        <v>75.5</v>
      </c>
      <c r="L152" s="54"/>
      <c r="M152" s="54"/>
      <c r="N152" s="55"/>
    </row>
    <row r="153" spans="2:14">
      <c r="B153" s="320"/>
      <c r="C153" s="55"/>
      <c r="J153" s="439"/>
      <c r="K153" s="55">
        <v>76</v>
      </c>
      <c r="L153" s="54"/>
      <c r="M153" s="54"/>
      <c r="N153" s="55"/>
    </row>
    <row r="154" spans="2:14">
      <c r="B154" s="320"/>
      <c r="C154" s="340"/>
      <c r="J154" s="439"/>
      <c r="K154" s="55">
        <v>76.5</v>
      </c>
      <c r="L154" s="54"/>
      <c r="M154" s="54"/>
      <c r="N154" s="55"/>
    </row>
    <row r="155" spans="2:14">
      <c r="B155" s="320"/>
      <c r="C155" s="340"/>
      <c r="J155" s="439"/>
      <c r="K155" s="55">
        <v>77</v>
      </c>
      <c r="L155" s="54"/>
      <c r="M155" s="54"/>
      <c r="N155" s="55"/>
    </row>
    <row r="156" spans="2:14">
      <c r="B156" s="320"/>
      <c r="C156" s="340"/>
      <c r="J156" s="439"/>
      <c r="K156" s="55">
        <v>77.5</v>
      </c>
      <c r="L156" s="54"/>
      <c r="M156" s="54"/>
      <c r="N156" s="55"/>
    </row>
    <row r="157" spans="2:14">
      <c r="B157" s="320"/>
      <c r="C157" s="340"/>
      <c r="J157" s="439"/>
      <c r="K157" s="55">
        <v>78</v>
      </c>
      <c r="L157" s="54"/>
      <c r="M157" s="54"/>
      <c r="N157" s="55"/>
    </row>
    <row r="158" spans="2:14">
      <c r="B158" s="320"/>
      <c r="C158" s="340"/>
      <c r="J158" s="439"/>
      <c r="K158" s="55">
        <v>78.5</v>
      </c>
      <c r="L158" s="54"/>
      <c r="M158" s="54"/>
      <c r="N158" s="55"/>
    </row>
    <row r="159" spans="2:14">
      <c r="B159" s="320"/>
      <c r="C159" s="340"/>
      <c r="J159" s="439"/>
      <c r="K159" s="55">
        <v>79</v>
      </c>
      <c r="L159" s="54"/>
      <c r="M159" s="54"/>
      <c r="N159" s="55"/>
    </row>
    <row r="160" spans="2:14">
      <c r="B160" s="320"/>
      <c r="C160" s="340"/>
      <c r="J160" s="439"/>
      <c r="K160" s="55">
        <v>79.5</v>
      </c>
      <c r="L160" s="54"/>
      <c r="M160" s="54"/>
      <c r="N160" s="55"/>
    </row>
    <row r="161" spans="2:14">
      <c r="B161" s="320"/>
      <c r="C161" s="340"/>
      <c r="J161" s="439"/>
      <c r="K161" s="55">
        <v>80</v>
      </c>
      <c r="L161" s="54"/>
      <c r="M161" s="54"/>
      <c r="N161" s="55"/>
    </row>
    <row r="162" spans="2:14">
      <c r="B162" s="320"/>
      <c r="C162" s="340"/>
      <c r="J162" s="439"/>
      <c r="K162" s="55">
        <v>80.5</v>
      </c>
      <c r="L162" s="54"/>
      <c r="M162" s="54"/>
      <c r="N162" s="55"/>
    </row>
    <row r="163" spans="2:14">
      <c r="B163" s="320"/>
      <c r="C163" s="340"/>
      <c r="J163" s="439"/>
      <c r="K163" s="55">
        <v>81</v>
      </c>
      <c r="L163" s="54"/>
      <c r="M163" s="54"/>
      <c r="N163" s="55"/>
    </row>
    <row r="164" spans="2:14">
      <c r="B164" s="320"/>
      <c r="C164" s="340"/>
      <c r="J164" s="439"/>
      <c r="K164" s="55">
        <v>81.5</v>
      </c>
      <c r="L164" s="54"/>
      <c r="M164" s="54"/>
      <c r="N164" s="55"/>
    </row>
    <row r="165" spans="2:14">
      <c r="B165" s="320"/>
      <c r="C165" s="340"/>
      <c r="J165" s="439"/>
      <c r="K165" s="55">
        <v>82</v>
      </c>
      <c r="L165" s="54"/>
      <c r="M165" s="54"/>
      <c r="N165" s="55"/>
    </row>
    <row r="166" spans="2:14">
      <c r="B166" s="320"/>
      <c r="C166" s="340"/>
      <c r="J166" s="439"/>
      <c r="K166" s="55">
        <v>82.5</v>
      </c>
      <c r="L166" s="54"/>
      <c r="M166" s="54"/>
      <c r="N166" s="55"/>
    </row>
    <row r="167" spans="2:14">
      <c r="B167" s="320"/>
      <c r="C167" s="55"/>
      <c r="J167" s="439"/>
      <c r="K167" s="55">
        <v>83</v>
      </c>
      <c r="L167" s="54"/>
      <c r="M167" s="54"/>
      <c r="N167" s="55"/>
    </row>
    <row r="168" spans="2:14">
      <c r="B168" s="320"/>
      <c r="J168" s="439"/>
      <c r="K168" s="55">
        <v>83.5</v>
      </c>
      <c r="L168" s="54"/>
      <c r="M168" s="54"/>
      <c r="N168" s="55"/>
    </row>
    <row r="169" spans="2:14">
      <c r="B169" s="320"/>
      <c r="J169" s="439"/>
      <c r="K169" s="55">
        <v>84</v>
      </c>
      <c r="L169" s="54"/>
      <c r="M169" s="54"/>
      <c r="N169" s="55"/>
    </row>
    <row r="170" spans="2:14">
      <c r="B170" s="320"/>
      <c r="J170" s="439"/>
      <c r="K170" s="55">
        <v>84.5</v>
      </c>
      <c r="L170" s="54"/>
      <c r="M170" s="54"/>
      <c r="N170" s="55"/>
    </row>
    <row r="171" spans="2:14">
      <c r="B171" s="320"/>
      <c r="J171" s="439"/>
      <c r="K171" s="55">
        <v>85</v>
      </c>
      <c r="L171" s="54"/>
      <c r="M171" s="54"/>
      <c r="N171" s="55"/>
    </row>
    <row r="172" spans="2:14">
      <c r="B172" s="320"/>
      <c r="J172" s="439"/>
      <c r="K172" s="55">
        <v>85.5</v>
      </c>
      <c r="L172" s="54"/>
      <c r="M172" s="54"/>
      <c r="N172" s="55"/>
    </row>
    <row r="173" spans="2:14">
      <c r="B173" s="320"/>
      <c r="J173" s="439"/>
      <c r="K173" s="55">
        <v>86</v>
      </c>
      <c r="L173" s="54"/>
      <c r="M173" s="54"/>
      <c r="N173" s="55"/>
    </row>
    <row r="174" spans="2:14">
      <c r="B174" s="320"/>
      <c r="J174" s="439"/>
      <c r="K174" s="55">
        <v>86.5</v>
      </c>
      <c r="L174" s="54"/>
      <c r="M174" s="54"/>
      <c r="N174" s="55"/>
    </row>
    <row r="175" spans="2:14">
      <c r="B175" s="320"/>
      <c r="J175" s="439"/>
      <c r="K175" s="55">
        <v>87</v>
      </c>
      <c r="L175" s="54"/>
      <c r="M175" s="54"/>
      <c r="N175" s="55"/>
    </row>
    <row r="176" spans="2:14">
      <c r="B176" s="320"/>
      <c r="J176" s="439"/>
      <c r="K176" s="55">
        <v>87.5</v>
      </c>
      <c r="L176" s="54"/>
      <c r="M176" s="54"/>
      <c r="N176" s="55"/>
    </row>
    <row r="177" spans="2:14">
      <c r="B177" s="320"/>
      <c r="J177" s="439"/>
      <c r="K177" s="55">
        <v>88</v>
      </c>
      <c r="L177" s="54"/>
      <c r="M177" s="54"/>
      <c r="N177" s="55"/>
    </row>
    <row r="178" spans="2:14">
      <c r="B178" s="320"/>
      <c r="J178" s="439"/>
      <c r="K178" s="55">
        <v>88.5</v>
      </c>
      <c r="L178" s="54"/>
      <c r="M178" s="54"/>
      <c r="N178" s="55"/>
    </row>
    <row r="179" spans="2:14">
      <c r="B179" s="320"/>
      <c r="J179" s="439"/>
      <c r="K179" s="55">
        <v>89</v>
      </c>
      <c r="L179" s="54"/>
      <c r="M179" s="54"/>
      <c r="N179" s="55"/>
    </row>
    <row r="180" spans="2:14">
      <c r="B180" s="320"/>
      <c r="J180" s="439"/>
      <c r="K180" s="55">
        <v>89.5</v>
      </c>
      <c r="L180" s="54"/>
      <c r="M180" s="54"/>
      <c r="N180" s="55"/>
    </row>
    <row r="181" spans="2:14">
      <c r="B181" s="320"/>
      <c r="J181" s="439"/>
      <c r="K181" s="55">
        <v>90</v>
      </c>
      <c r="L181" s="54"/>
      <c r="M181" s="54"/>
      <c r="N181" s="55"/>
    </row>
    <row r="182" spans="2:14">
      <c r="B182" s="320"/>
      <c r="J182" s="439"/>
      <c r="K182" s="55">
        <v>90.5</v>
      </c>
      <c r="L182" s="54"/>
      <c r="M182" s="54"/>
      <c r="N182" s="55"/>
    </row>
    <row r="183" spans="2:14">
      <c r="B183" s="320"/>
      <c r="J183" s="439"/>
      <c r="K183" s="55">
        <v>91</v>
      </c>
      <c r="L183" s="54"/>
      <c r="M183" s="54"/>
      <c r="N183" s="55"/>
    </row>
    <row r="184" spans="2:14">
      <c r="B184" s="320"/>
      <c r="J184" s="439"/>
      <c r="K184" s="55">
        <v>91.5</v>
      </c>
      <c r="L184" s="54"/>
      <c r="M184" s="54"/>
      <c r="N184" s="55"/>
    </row>
    <row r="185" spans="2:14">
      <c r="B185" s="320"/>
      <c r="J185" s="439"/>
      <c r="K185" s="55">
        <v>92</v>
      </c>
      <c r="L185" s="54"/>
      <c r="M185" s="54"/>
      <c r="N185" s="55"/>
    </row>
    <row r="186" spans="2:14">
      <c r="B186" s="320"/>
      <c r="J186" s="439"/>
      <c r="K186" s="55">
        <v>92.5</v>
      </c>
      <c r="L186" s="54"/>
      <c r="M186" s="54"/>
      <c r="N186" s="55"/>
    </row>
    <row r="187" spans="2:14">
      <c r="B187" s="320"/>
      <c r="J187" s="439"/>
      <c r="K187" s="55">
        <v>93</v>
      </c>
      <c r="L187" s="54"/>
      <c r="M187" s="54"/>
      <c r="N187" s="55"/>
    </row>
    <row r="188" spans="2:14">
      <c r="B188" s="320"/>
      <c r="J188" s="439"/>
      <c r="K188" s="55">
        <v>93.5</v>
      </c>
      <c r="L188" s="54"/>
      <c r="M188" s="54"/>
      <c r="N188" s="55"/>
    </row>
    <row r="189" spans="2:14">
      <c r="B189" s="320"/>
      <c r="J189" s="439"/>
      <c r="K189" s="55">
        <v>94</v>
      </c>
      <c r="L189" s="54"/>
      <c r="M189" s="54"/>
      <c r="N189" s="55"/>
    </row>
    <row r="190" spans="2:14">
      <c r="B190" s="320"/>
      <c r="J190" s="439"/>
      <c r="K190" s="55">
        <v>94.5</v>
      </c>
      <c r="L190" s="54"/>
      <c r="M190" s="54"/>
      <c r="N190" s="55"/>
    </row>
    <row r="191" spans="2:14">
      <c r="B191" s="320"/>
      <c r="J191" s="439"/>
      <c r="K191" s="55">
        <v>95</v>
      </c>
      <c r="L191" s="54"/>
      <c r="M191" s="54"/>
      <c r="N191" s="55"/>
    </row>
    <row r="192" spans="2:14">
      <c r="B192" s="320"/>
      <c r="J192" s="439"/>
      <c r="K192" s="55">
        <v>95.5</v>
      </c>
      <c r="L192" s="54"/>
      <c r="M192" s="54"/>
      <c r="N192" s="55"/>
    </row>
    <row r="193" spans="2:14">
      <c r="B193" s="320"/>
      <c r="J193" s="439"/>
      <c r="K193" s="55">
        <v>96</v>
      </c>
      <c r="L193" s="54"/>
      <c r="M193" s="54"/>
      <c r="N193" s="55"/>
    </row>
    <row r="194" spans="2:14">
      <c r="B194" s="320"/>
      <c r="J194" s="439"/>
      <c r="K194" s="55">
        <v>96.5</v>
      </c>
      <c r="L194" s="54"/>
      <c r="M194" s="54"/>
      <c r="N194" s="55"/>
    </row>
    <row r="195" spans="2:14">
      <c r="B195" s="320"/>
      <c r="J195" s="439"/>
      <c r="K195" s="55">
        <v>97</v>
      </c>
      <c r="L195" s="54"/>
      <c r="M195" s="54"/>
      <c r="N195" s="55"/>
    </row>
    <row r="196" spans="2:14">
      <c r="B196" s="320"/>
      <c r="J196" s="439"/>
      <c r="K196" s="55">
        <v>97.5</v>
      </c>
      <c r="L196" s="54"/>
      <c r="M196" s="54"/>
      <c r="N196" s="55"/>
    </row>
    <row r="197" spans="2:14">
      <c r="B197" s="320"/>
      <c r="J197" s="439"/>
      <c r="K197" s="55">
        <v>98</v>
      </c>
      <c r="L197" s="54"/>
      <c r="M197" s="54"/>
      <c r="N197" s="55"/>
    </row>
    <row r="198" spans="2:14">
      <c r="B198" s="320"/>
      <c r="J198" s="439"/>
      <c r="K198" s="55">
        <v>98.5</v>
      </c>
      <c r="L198" s="54"/>
      <c r="M198" s="54"/>
      <c r="N198" s="55"/>
    </row>
    <row r="199" spans="2:14">
      <c r="B199" s="320"/>
      <c r="J199" s="439"/>
      <c r="K199" s="55">
        <v>99</v>
      </c>
      <c r="L199" s="54"/>
      <c r="M199" s="54"/>
      <c r="N199" s="55"/>
    </row>
    <row r="200" spans="2:14">
      <c r="B200" s="320"/>
      <c r="J200" s="439"/>
      <c r="K200" s="55">
        <v>99.5</v>
      </c>
      <c r="L200" s="54"/>
      <c r="M200" s="54"/>
      <c r="N200" s="55"/>
    </row>
    <row r="201" spans="2:14">
      <c r="B201" s="320"/>
      <c r="J201" s="439"/>
      <c r="K201" s="55">
        <v>100</v>
      </c>
      <c r="L201" s="54"/>
      <c r="M201" s="54"/>
      <c r="N201" s="55"/>
    </row>
  </sheetData>
  <sheetProtection algorithmName="SHA-512" hashValue="SMkJNTKGPFRWK91I7+/swhIJmW1Km6k+p/NSihZiDZwkyQldLbFNhI/1Zmtm4/ZUQzbVI1g7zO47nefyTGGAjg==" saltValue="oiVQpuYfX7j+/tz/4PiYHw==" spinCount="100000" sheet="1" objects="1" scenarios="1"/>
  <mergeCells count="2">
    <mergeCell ref="C117:D117"/>
    <mergeCell ref="A51:C51"/>
  </mergeCells>
  <pageMargins left="0" right="0" top="0" bottom="0" header="0" footer="0"/>
  <pageSetup paperSize="9" orientation="landscape" horizontalDpi="4294967293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41"/>
  <sheetViews>
    <sheetView workbookViewId="0">
      <selection activeCell="G34" sqref="G34"/>
    </sheetView>
  </sheetViews>
  <sheetFormatPr baseColWidth="10" defaultColWidth="10.83203125" defaultRowHeight="14"/>
  <cols>
    <col min="1" max="4" width="11.5" style="51" customWidth="1"/>
    <col min="5" max="5" width="11.5" style="54" customWidth="1"/>
    <col min="6" max="16384" width="10.83203125" style="51"/>
  </cols>
  <sheetData>
    <row r="1" spans="1:17">
      <c r="A1" s="642" t="s">
        <v>77</v>
      </c>
      <c r="B1" s="643"/>
      <c r="C1" s="645" t="s">
        <v>78</v>
      </c>
      <c r="D1" s="646"/>
      <c r="E1" s="646"/>
      <c r="F1" s="646"/>
      <c r="G1" s="646"/>
      <c r="H1" s="646"/>
      <c r="I1" s="647"/>
      <c r="K1" s="642" t="str">
        <f>"Eingabefeld Gehalt 1_"&amp;" "&amp;Start!$D$2</f>
        <v>Eingabefeld Gehalt 1_ 2024</v>
      </c>
      <c r="L1" s="644"/>
      <c r="M1" s="644"/>
      <c r="N1" s="644"/>
      <c r="O1" s="644"/>
      <c r="P1" s="644"/>
      <c r="Q1" s="643"/>
    </row>
    <row r="2" spans="1:17">
      <c r="A2" s="52" t="s">
        <v>62</v>
      </c>
      <c r="B2" s="53"/>
      <c r="C2" s="642" t="s">
        <v>334</v>
      </c>
      <c r="D2" s="644"/>
      <c r="E2" s="644"/>
      <c r="F2" s="642" t="s">
        <v>337</v>
      </c>
      <c r="G2" s="644"/>
      <c r="H2" s="644"/>
      <c r="I2" s="643"/>
      <c r="K2" s="642" t="s">
        <v>334</v>
      </c>
      <c r="L2" s="644"/>
      <c r="M2" s="644"/>
      <c r="N2" s="642" t="s">
        <v>337</v>
      </c>
      <c r="O2" s="644"/>
      <c r="P2" s="644"/>
      <c r="Q2" s="643"/>
    </row>
    <row r="3" spans="1:17">
      <c r="A3" s="413" t="s">
        <v>323</v>
      </c>
      <c r="B3" s="414" t="s">
        <v>286</v>
      </c>
      <c r="C3" s="415" t="s">
        <v>333</v>
      </c>
      <c r="D3" s="415" t="s">
        <v>335</v>
      </c>
      <c r="E3" s="416" t="s">
        <v>331</v>
      </c>
      <c r="F3" s="415" t="s">
        <v>329</v>
      </c>
      <c r="G3" s="415" t="s">
        <v>330</v>
      </c>
      <c r="H3" s="415" t="s">
        <v>336</v>
      </c>
      <c r="I3" s="416" t="s">
        <v>332</v>
      </c>
      <c r="K3" s="415" t="s">
        <v>333</v>
      </c>
      <c r="L3" s="415" t="s">
        <v>335</v>
      </c>
      <c r="M3" s="416" t="s">
        <v>331</v>
      </c>
      <c r="N3" s="415" t="s">
        <v>404</v>
      </c>
      <c r="O3" s="415" t="s">
        <v>419</v>
      </c>
      <c r="P3" s="415" t="s">
        <v>336</v>
      </c>
      <c r="Q3" s="416" t="s">
        <v>405</v>
      </c>
    </row>
    <row r="4" spans="1:17">
      <c r="A4" s="52">
        <v>1</v>
      </c>
      <c r="B4" s="52">
        <v>2</v>
      </c>
      <c r="C4" s="273">
        <f>K4/40*$E$34</f>
        <v>0</v>
      </c>
      <c r="D4" s="273">
        <f t="shared" ref="D4:I4" si="0">L4/40*$E$34</f>
        <v>4670.24</v>
      </c>
      <c r="E4" s="273">
        <f t="shared" si="0"/>
        <v>6924.1200000000008</v>
      </c>
      <c r="F4" s="273">
        <f t="shared" si="0"/>
        <v>7269.0499999999993</v>
      </c>
      <c r="G4" s="273">
        <f t="shared" si="0"/>
        <v>7752.12</v>
      </c>
      <c r="H4" s="273">
        <f t="shared" si="0"/>
        <v>4670.24</v>
      </c>
      <c r="I4" s="273">
        <f t="shared" si="0"/>
        <v>6887.82</v>
      </c>
      <c r="K4" s="481">
        <v>0</v>
      </c>
      <c r="L4" s="481">
        <v>4670.24</v>
      </c>
      <c r="M4" s="481">
        <v>6924.12</v>
      </c>
      <c r="N4" s="481">
        <v>7269.05</v>
      </c>
      <c r="O4" s="481">
        <v>7752.12</v>
      </c>
      <c r="P4" s="481">
        <v>4670.24</v>
      </c>
      <c r="Q4" s="481">
        <v>6887.82</v>
      </c>
    </row>
    <row r="5" spans="1:17">
      <c r="A5" s="52">
        <v>2</v>
      </c>
      <c r="B5" s="52">
        <v>3</v>
      </c>
      <c r="C5" s="273">
        <f t="shared" ref="C5:C22" si="1">K5/40*$E$34</f>
        <v>0</v>
      </c>
      <c r="D5" s="273">
        <f t="shared" ref="D5:D22" si="2">L5/40*$E$34</f>
        <v>4931.5600000000004</v>
      </c>
      <c r="E5" s="273">
        <f t="shared" ref="E5:E22" si="3">M5/40*$E$34</f>
        <v>7054.78</v>
      </c>
      <c r="F5" s="273">
        <f t="shared" ref="F5:F22" si="4">N5/40*$E$34</f>
        <v>7502.7</v>
      </c>
      <c r="G5" s="273">
        <f t="shared" ref="G5:G22" si="5">O5/40*$E$34</f>
        <v>7985.76</v>
      </c>
      <c r="H5" s="273">
        <f t="shared" ref="H5:H22" si="6">P5/40*$E$34</f>
        <v>4931.5600000000004</v>
      </c>
      <c r="I5" s="273">
        <f t="shared" ref="I5:I22" si="7">Q5/40*$E$34</f>
        <v>7198.07</v>
      </c>
      <c r="K5" s="481">
        <v>0</v>
      </c>
      <c r="L5" s="481">
        <v>4931.5600000000004</v>
      </c>
      <c r="M5" s="481">
        <v>7054.78</v>
      </c>
      <c r="N5" s="481">
        <v>7502.7</v>
      </c>
      <c r="O5" s="481">
        <v>7985.76</v>
      </c>
      <c r="P5" s="481">
        <v>4931.5600000000004</v>
      </c>
      <c r="Q5" s="481">
        <v>7198.07</v>
      </c>
    </row>
    <row r="6" spans="1:17">
      <c r="A6" s="52">
        <v>3</v>
      </c>
      <c r="B6" s="52">
        <v>4</v>
      </c>
      <c r="C6" s="273">
        <f t="shared" si="1"/>
        <v>0</v>
      </c>
      <c r="D6" s="273">
        <f t="shared" si="2"/>
        <v>5192.88</v>
      </c>
      <c r="E6" s="273">
        <f t="shared" si="3"/>
        <v>7160.93</v>
      </c>
      <c r="F6" s="273">
        <f t="shared" si="4"/>
        <v>7736.35</v>
      </c>
      <c r="G6" s="273">
        <f t="shared" si="5"/>
        <v>8219.42</v>
      </c>
      <c r="H6" s="273">
        <f t="shared" si="6"/>
        <v>5192.88</v>
      </c>
      <c r="I6" s="273">
        <f t="shared" si="7"/>
        <v>7457.25</v>
      </c>
      <c r="K6" s="481">
        <v>0</v>
      </c>
      <c r="L6" s="481">
        <v>5192.88</v>
      </c>
      <c r="M6" s="481">
        <v>7160.93</v>
      </c>
      <c r="N6" s="481">
        <v>7736.35</v>
      </c>
      <c r="O6" s="481">
        <v>8219.42</v>
      </c>
      <c r="P6" s="481">
        <v>5192.88</v>
      </c>
      <c r="Q6" s="481">
        <v>7457.25</v>
      </c>
    </row>
    <row r="7" spans="1:17">
      <c r="A7" s="52">
        <v>4</v>
      </c>
      <c r="B7" s="52">
        <v>5</v>
      </c>
      <c r="C7" s="273">
        <f t="shared" si="1"/>
        <v>7252.14</v>
      </c>
      <c r="D7" s="273">
        <f t="shared" si="2"/>
        <v>5365.31</v>
      </c>
      <c r="E7" s="273">
        <f t="shared" si="3"/>
        <v>7252.14</v>
      </c>
      <c r="F7" s="273">
        <f t="shared" si="4"/>
        <v>7970</v>
      </c>
      <c r="G7" s="273">
        <f t="shared" si="5"/>
        <v>8453.06</v>
      </c>
      <c r="H7" s="273">
        <f t="shared" si="6"/>
        <v>5258.1999999999989</v>
      </c>
      <c r="I7" s="273">
        <f t="shared" si="7"/>
        <v>7690.9</v>
      </c>
      <c r="K7" s="481">
        <v>7252.14</v>
      </c>
      <c r="L7" s="481">
        <v>5365.31</v>
      </c>
      <c r="M7" s="481">
        <v>7252.14</v>
      </c>
      <c r="N7" s="481">
        <v>7970</v>
      </c>
      <c r="O7" s="481">
        <v>8453.06</v>
      </c>
      <c r="P7" s="481">
        <v>5258.2</v>
      </c>
      <c r="Q7" s="481">
        <v>7690.9</v>
      </c>
    </row>
    <row r="8" spans="1:17">
      <c r="A8" s="52">
        <v>5</v>
      </c>
      <c r="B8" s="52">
        <v>6</v>
      </c>
      <c r="C8" s="273">
        <f t="shared" si="1"/>
        <v>7378.93</v>
      </c>
      <c r="D8" s="273">
        <f t="shared" si="2"/>
        <v>5508.13</v>
      </c>
      <c r="E8" s="273">
        <f t="shared" si="3"/>
        <v>7378.93</v>
      </c>
      <c r="F8" s="273">
        <f t="shared" si="4"/>
        <v>8203.65</v>
      </c>
      <c r="G8" s="273">
        <f t="shared" si="5"/>
        <v>8686.7199999999993</v>
      </c>
      <c r="H8" s="273">
        <f t="shared" si="6"/>
        <v>0</v>
      </c>
      <c r="I8" s="273">
        <f t="shared" si="7"/>
        <v>7924.55</v>
      </c>
      <c r="K8" s="481">
        <v>7378.93</v>
      </c>
      <c r="L8" s="481">
        <v>5508.13</v>
      </c>
      <c r="M8" s="481">
        <v>7378.93</v>
      </c>
      <c r="N8" s="481">
        <v>8203.65</v>
      </c>
      <c r="O8" s="481">
        <v>8686.7199999999993</v>
      </c>
      <c r="P8" s="481">
        <v>0</v>
      </c>
      <c r="Q8" s="481">
        <v>7924.55</v>
      </c>
    </row>
    <row r="9" spans="1:17">
      <c r="A9" s="52">
        <v>6</v>
      </c>
      <c r="B9" s="52">
        <v>7</v>
      </c>
      <c r="C9" s="273">
        <f t="shared" si="1"/>
        <v>7518.16</v>
      </c>
      <c r="D9" s="273">
        <f t="shared" si="2"/>
        <v>5650.94</v>
      </c>
      <c r="E9" s="273">
        <f t="shared" si="3"/>
        <v>7518.16</v>
      </c>
      <c r="F9" s="273">
        <f t="shared" si="4"/>
        <v>8437.2900000000009</v>
      </c>
      <c r="G9" s="273">
        <f t="shared" si="5"/>
        <v>8920.3700000000008</v>
      </c>
      <c r="H9" s="273">
        <f t="shared" si="6"/>
        <v>0</v>
      </c>
      <c r="I9" s="273">
        <f t="shared" si="7"/>
        <v>8158.1999999999989</v>
      </c>
      <c r="K9" s="481">
        <v>7518.16</v>
      </c>
      <c r="L9" s="481">
        <v>5650.94</v>
      </c>
      <c r="M9" s="481">
        <v>7518.16</v>
      </c>
      <c r="N9" s="481">
        <v>8437.2900000000009</v>
      </c>
      <c r="O9" s="481">
        <v>8920.3700000000008</v>
      </c>
      <c r="P9" s="481">
        <v>0</v>
      </c>
      <c r="Q9" s="481">
        <v>8158.2</v>
      </c>
    </row>
    <row r="10" spans="1:17">
      <c r="A10" s="52">
        <v>7</v>
      </c>
      <c r="B10" s="52">
        <v>8</v>
      </c>
      <c r="C10" s="273">
        <f t="shared" si="1"/>
        <v>7657.4700000000012</v>
      </c>
      <c r="D10" s="273">
        <f t="shared" si="2"/>
        <v>5780.49</v>
      </c>
      <c r="E10" s="273">
        <f t="shared" si="3"/>
        <v>7657.4700000000012</v>
      </c>
      <c r="F10" s="273">
        <f t="shared" si="4"/>
        <v>8670.9500000000007</v>
      </c>
      <c r="G10" s="273">
        <f t="shared" si="5"/>
        <v>9154.01</v>
      </c>
      <c r="H10" s="273">
        <f t="shared" si="6"/>
        <v>0</v>
      </c>
      <c r="I10" s="273">
        <f t="shared" si="7"/>
        <v>8391.86</v>
      </c>
      <c r="K10" s="481">
        <v>7657.47</v>
      </c>
      <c r="L10" s="481">
        <v>5780.49</v>
      </c>
      <c r="M10" s="481">
        <v>7657.47</v>
      </c>
      <c r="N10" s="481">
        <v>8670.9500000000007</v>
      </c>
      <c r="O10" s="481">
        <v>9154.01</v>
      </c>
      <c r="P10" s="481">
        <v>0</v>
      </c>
      <c r="Q10" s="481">
        <v>8391.86</v>
      </c>
    </row>
    <row r="11" spans="1:17">
      <c r="A11" s="52">
        <v>8</v>
      </c>
      <c r="B11" s="52">
        <v>9</v>
      </c>
      <c r="C11" s="273">
        <f t="shared" si="1"/>
        <v>7796.75</v>
      </c>
      <c r="D11" s="273">
        <f t="shared" si="2"/>
        <v>5906.41</v>
      </c>
      <c r="E11" s="273">
        <f t="shared" si="3"/>
        <v>7796.75</v>
      </c>
      <c r="F11" s="273">
        <f t="shared" si="4"/>
        <v>8904.6</v>
      </c>
      <c r="G11" s="273">
        <f t="shared" si="5"/>
        <v>9387.67</v>
      </c>
      <c r="H11" s="273">
        <f t="shared" si="6"/>
        <v>0</v>
      </c>
      <c r="I11" s="273">
        <f t="shared" si="7"/>
        <v>8625.51</v>
      </c>
      <c r="K11" s="481">
        <v>7796.75</v>
      </c>
      <c r="L11" s="481">
        <v>5906.41</v>
      </c>
      <c r="M11" s="481">
        <v>7796.75</v>
      </c>
      <c r="N11" s="481">
        <v>8904.6</v>
      </c>
      <c r="O11" s="481">
        <v>9387.67</v>
      </c>
      <c r="P11" s="481">
        <v>0</v>
      </c>
      <c r="Q11" s="481">
        <v>8625.51</v>
      </c>
    </row>
    <row r="12" spans="1:17">
      <c r="A12" s="52">
        <v>9</v>
      </c>
      <c r="B12" s="52">
        <v>10</v>
      </c>
      <c r="C12" s="273">
        <f t="shared" si="1"/>
        <v>8060.2800000000007</v>
      </c>
      <c r="D12" s="273">
        <f t="shared" si="2"/>
        <v>6032.7800000000007</v>
      </c>
      <c r="E12" s="273">
        <f t="shared" si="3"/>
        <v>8060.2800000000007</v>
      </c>
      <c r="F12" s="273">
        <f t="shared" si="4"/>
        <v>9138.25</v>
      </c>
      <c r="G12" s="273">
        <f t="shared" si="5"/>
        <v>9621.31</v>
      </c>
      <c r="H12" s="273">
        <f t="shared" si="6"/>
        <v>0</v>
      </c>
      <c r="I12" s="273">
        <f t="shared" si="7"/>
        <v>8859.16</v>
      </c>
      <c r="K12" s="481">
        <v>8060.28</v>
      </c>
      <c r="L12" s="481">
        <v>6032.78</v>
      </c>
      <c r="M12" s="481">
        <v>8060.28</v>
      </c>
      <c r="N12" s="481">
        <v>9138.25</v>
      </c>
      <c r="O12" s="481">
        <v>9621.31</v>
      </c>
      <c r="P12" s="481">
        <v>0</v>
      </c>
      <c r="Q12" s="481">
        <v>8859.16</v>
      </c>
    </row>
    <row r="13" spans="1:17">
      <c r="A13" s="52">
        <v>10</v>
      </c>
      <c r="B13" s="52">
        <v>11</v>
      </c>
      <c r="C13" s="273">
        <f t="shared" si="1"/>
        <v>8358.02</v>
      </c>
      <c r="D13" s="273">
        <f t="shared" si="2"/>
        <v>6158.99</v>
      </c>
      <c r="E13" s="273">
        <f t="shared" si="3"/>
        <v>8358.02</v>
      </c>
      <c r="F13" s="273">
        <f t="shared" si="4"/>
        <v>9371.91</v>
      </c>
      <c r="G13" s="273">
        <f t="shared" si="5"/>
        <v>9854.9599999999991</v>
      </c>
      <c r="H13" s="273">
        <f t="shared" si="6"/>
        <v>0</v>
      </c>
      <c r="I13" s="273">
        <f t="shared" si="7"/>
        <v>9092.7999999999993</v>
      </c>
      <c r="K13" s="481">
        <v>8358.02</v>
      </c>
      <c r="L13" s="481">
        <v>6158.99</v>
      </c>
      <c r="M13" s="481">
        <v>8358.02</v>
      </c>
      <c r="N13" s="481">
        <v>9371.91</v>
      </c>
      <c r="O13" s="481">
        <v>9854.9599999999991</v>
      </c>
      <c r="P13" s="481">
        <v>0</v>
      </c>
      <c r="Q13" s="481">
        <v>9092.7999999999993</v>
      </c>
    </row>
    <row r="14" spans="1:17">
      <c r="A14" s="52">
        <v>11</v>
      </c>
      <c r="B14" s="52">
        <v>12</v>
      </c>
      <c r="C14" s="273">
        <f t="shared" si="1"/>
        <v>8639.68</v>
      </c>
      <c r="D14" s="273">
        <f t="shared" si="2"/>
        <v>6285.34</v>
      </c>
      <c r="E14" s="273">
        <f t="shared" si="3"/>
        <v>8639.68</v>
      </c>
      <c r="F14" s="273">
        <f t="shared" si="4"/>
        <v>9605.5499999999993</v>
      </c>
      <c r="G14" s="273">
        <f t="shared" si="5"/>
        <v>10088.61</v>
      </c>
      <c r="H14" s="273">
        <f t="shared" si="6"/>
        <v>0</v>
      </c>
      <c r="I14" s="273">
        <f t="shared" si="7"/>
        <v>9326.4599999999991</v>
      </c>
      <c r="K14" s="481">
        <v>8639.68</v>
      </c>
      <c r="L14" s="481">
        <v>6285.34</v>
      </c>
      <c r="M14" s="481">
        <v>8639.68</v>
      </c>
      <c r="N14" s="481">
        <v>9605.5499999999993</v>
      </c>
      <c r="O14" s="481">
        <v>10088.61</v>
      </c>
      <c r="P14" s="481">
        <v>0</v>
      </c>
      <c r="Q14" s="481">
        <v>9326.4599999999991</v>
      </c>
    </row>
    <row r="15" spans="1:17">
      <c r="A15" s="52">
        <v>12</v>
      </c>
      <c r="B15" s="52">
        <v>13</v>
      </c>
      <c r="C15" s="273">
        <f t="shared" si="1"/>
        <v>8916.2900000000009</v>
      </c>
      <c r="D15" s="273">
        <f t="shared" si="2"/>
        <v>6411.68</v>
      </c>
      <c r="E15" s="273">
        <f t="shared" si="3"/>
        <v>8916.2900000000009</v>
      </c>
      <c r="F15" s="273">
        <f t="shared" si="4"/>
        <v>9605.5499999999993</v>
      </c>
      <c r="G15" s="273">
        <f t="shared" si="5"/>
        <v>10088.61</v>
      </c>
      <c r="H15" s="273">
        <f t="shared" si="6"/>
        <v>0</v>
      </c>
      <c r="I15" s="273">
        <f t="shared" si="7"/>
        <v>9432.42</v>
      </c>
      <c r="K15" s="481">
        <v>8916.2900000000009</v>
      </c>
      <c r="L15" s="481">
        <v>6411.68</v>
      </c>
      <c r="M15" s="481">
        <v>8916.2900000000009</v>
      </c>
      <c r="N15" s="481">
        <v>9605.5499999999993</v>
      </c>
      <c r="O15" s="481">
        <v>10088.61</v>
      </c>
      <c r="P15" s="481">
        <v>0</v>
      </c>
      <c r="Q15" s="481">
        <v>9432.42</v>
      </c>
    </row>
    <row r="16" spans="1:17">
      <c r="A16" s="52">
        <v>13</v>
      </c>
      <c r="B16" s="52">
        <v>14</v>
      </c>
      <c r="C16" s="273">
        <f t="shared" si="1"/>
        <v>9193.3700000000008</v>
      </c>
      <c r="D16" s="273">
        <f t="shared" si="2"/>
        <v>6522.4700000000012</v>
      </c>
      <c r="E16" s="273">
        <f t="shared" si="3"/>
        <v>9193.3700000000008</v>
      </c>
      <c r="F16" s="273">
        <f t="shared" si="4"/>
        <v>0</v>
      </c>
      <c r="G16" s="273">
        <f t="shared" si="5"/>
        <v>0</v>
      </c>
      <c r="H16" s="273">
        <f t="shared" si="6"/>
        <v>0</v>
      </c>
      <c r="I16" s="273">
        <f t="shared" si="7"/>
        <v>0</v>
      </c>
      <c r="K16" s="481">
        <v>9193.3700000000008</v>
      </c>
      <c r="L16" s="481">
        <v>6522.47</v>
      </c>
      <c r="M16" s="481">
        <v>9193.3700000000008</v>
      </c>
      <c r="N16" s="481">
        <v>0</v>
      </c>
      <c r="O16" s="481">
        <v>0</v>
      </c>
      <c r="P16" s="481">
        <v>0</v>
      </c>
      <c r="Q16" s="481">
        <v>0</v>
      </c>
    </row>
    <row r="17" spans="1:18">
      <c r="A17" s="52">
        <v>14</v>
      </c>
      <c r="B17" s="52">
        <v>15</v>
      </c>
      <c r="C17" s="273">
        <f t="shared" si="1"/>
        <v>9486.99</v>
      </c>
      <c r="D17" s="273">
        <f t="shared" si="2"/>
        <v>6628.28</v>
      </c>
      <c r="E17" s="273">
        <f t="shared" si="3"/>
        <v>9486.99</v>
      </c>
      <c r="F17" s="273">
        <f t="shared" si="4"/>
        <v>0</v>
      </c>
      <c r="G17" s="273">
        <f t="shared" si="5"/>
        <v>0</v>
      </c>
      <c r="H17" s="273">
        <f t="shared" si="6"/>
        <v>0</v>
      </c>
      <c r="I17" s="273">
        <f t="shared" si="7"/>
        <v>0</v>
      </c>
      <c r="K17" s="481">
        <v>9486.99</v>
      </c>
      <c r="L17" s="481">
        <v>6628.28</v>
      </c>
      <c r="M17" s="481">
        <v>9486.99</v>
      </c>
      <c r="N17" s="481">
        <v>0</v>
      </c>
      <c r="O17" s="481">
        <v>0</v>
      </c>
      <c r="P17" s="481">
        <v>0</v>
      </c>
      <c r="Q17" s="481">
        <v>0</v>
      </c>
    </row>
    <row r="18" spans="1:18">
      <c r="A18" s="52">
        <v>15</v>
      </c>
      <c r="B18" s="52">
        <v>16</v>
      </c>
      <c r="C18" s="273">
        <f t="shared" si="1"/>
        <v>9723.07</v>
      </c>
      <c r="D18" s="273">
        <f t="shared" si="2"/>
        <v>6654.7199999999993</v>
      </c>
      <c r="E18" s="273">
        <f t="shared" si="3"/>
        <v>9723.07</v>
      </c>
      <c r="F18" s="273">
        <f t="shared" si="4"/>
        <v>0</v>
      </c>
      <c r="G18" s="273">
        <f t="shared" si="5"/>
        <v>0</v>
      </c>
      <c r="H18" s="273">
        <f t="shared" si="6"/>
        <v>0</v>
      </c>
      <c r="I18" s="273">
        <f t="shared" si="7"/>
        <v>0</v>
      </c>
      <c r="K18" s="481">
        <v>9723.07</v>
      </c>
      <c r="L18" s="481">
        <v>6654.72</v>
      </c>
      <c r="M18" s="481">
        <v>9723.07</v>
      </c>
      <c r="N18" s="481">
        <v>0</v>
      </c>
      <c r="O18" s="481">
        <v>0</v>
      </c>
      <c r="P18" s="481">
        <v>0</v>
      </c>
      <c r="Q18" s="481">
        <v>0</v>
      </c>
    </row>
    <row r="19" spans="1:18">
      <c r="A19" s="52">
        <v>16</v>
      </c>
      <c r="B19" s="52">
        <v>17</v>
      </c>
      <c r="C19" s="273">
        <f t="shared" si="1"/>
        <v>9938.23</v>
      </c>
      <c r="D19" s="273">
        <f t="shared" si="2"/>
        <v>0</v>
      </c>
      <c r="E19" s="273">
        <f t="shared" si="3"/>
        <v>9938.23</v>
      </c>
      <c r="F19" s="273">
        <f t="shared" si="4"/>
        <v>0</v>
      </c>
      <c r="G19" s="273">
        <f t="shared" si="5"/>
        <v>0</v>
      </c>
      <c r="H19" s="273">
        <f t="shared" si="6"/>
        <v>0</v>
      </c>
      <c r="I19" s="273">
        <f t="shared" si="7"/>
        <v>0</v>
      </c>
      <c r="K19" s="481">
        <v>9938.23</v>
      </c>
      <c r="L19" s="481">
        <v>0</v>
      </c>
      <c r="M19" s="481">
        <v>9938.23</v>
      </c>
      <c r="N19" s="481">
        <v>0</v>
      </c>
      <c r="O19" s="481">
        <v>0</v>
      </c>
      <c r="P19" s="481">
        <v>0</v>
      </c>
      <c r="Q19" s="481">
        <v>0</v>
      </c>
    </row>
    <row r="20" spans="1:18">
      <c r="A20" s="52">
        <v>17</v>
      </c>
      <c r="B20" s="52">
        <v>18</v>
      </c>
      <c r="C20" s="273">
        <f t="shared" si="1"/>
        <v>10153.39</v>
      </c>
      <c r="D20" s="273">
        <f t="shared" si="2"/>
        <v>0</v>
      </c>
      <c r="E20" s="273">
        <f t="shared" si="3"/>
        <v>10153.39</v>
      </c>
      <c r="F20" s="273">
        <f t="shared" si="4"/>
        <v>0</v>
      </c>
      <c r="G20" s="273">
        <f t="shared" si="5"/>
        <v>0</v>
      </c>
      <c r="H20" s="273">
        <f t="shared" si="6"/>
        <v>0</v>
      </c>
      <c r="I20" s="273">
        <f t="shared" si="7"/>
        <v>0</v>
      </c>
      <c r="K20" s="481">
        <v>10153.39</v>
      </c>
      <c r="L20" s="481">
        <v>0</v>
      </c>
      <c r="M20" s="481">
        <v>10153.39</v>
      </c>
      <c r="N20" s="481">
        <v>0</v>
      </c>
      <c r="O20" s="481">
        <v>0</v>
      </c>
      <c r="P20" s="481">
        <v>0</v>
      </c>
      <c r="Q20" s="481">
        <v>0</v>
      </c>
    </row>
    <row r="21" spans="1:18">
      <c r="A21" s="52">
        <v>18</v>
      </c>
      <c r="B21" s="52">
        <v>19</v>
      </c>
      <c r="C21" s="273">
        <f t="shared" si="1"/>
        <v>10368.5</v>
      </c>
      <c r="D21" s="273">
        <f t="shared" si="2"/>
        <v>0</v>
      </c>
      <c r="E21" s="273">
        <f t="shared" si="3"/>
        <v>10368.5</v>
      </c>
      <c r="F21" s="273">
        <f t="shared" si="4"/>
        <v>0</v>
      </c>
      <c r="G21" s="273">
        <f t="shared" si="5"/>
        <v>0</v>
      </c>
      <c r="H21" s="273">
        <f t="shared" si="6"/>
        <v>0</v>
      </c>
      <c r="I21" s="273">
        <f t="shared" si="7"/>
        <v>0</v>
      </c>
      <c r="K21" s="481">
        <v>10368.5</v>
      </c>
      <c r="L21" s="481">
        <v>0</v>
      </c>
      <c r="M21" s="481">
        <v>10368.5</v>
      </c>
      <c r="N21" s="481">
        <v>0</v>
      </c>
      <c r="O21" s="481">
        <v>0</v>
      </c>
      <c r="P21" s="481">
        <v>0</v>
      </c>
      <c r="Q21" s="481">
        <v>0</v>
      </c>
    </row>
    <row r="22" spans="1:18">
      <c r="A22" s="52">
        <v>19</v>
      </c>
      <c r="B22" s="52">
        <v>19</v>
      </c>
      <c r="C22" s="273">
        <f t="shared" si="1"/>
        <v>10422.280000000001</v>
      </c>
      <c r="D22" s="273">
        <f t="shared" si="2"/>
        <v>0</v>
      </c>
      <c r="E22" s="273">
        <f t="shared" si="3"/>
        <v>10422.280000000001</v>
      </c>
      <c r="F22" s="273">
        <f t="shared" si="4"/>
        <v>0</v>
      </c>
      <c r="G22" s="273">
        <f t="shared" si="5"/>
        <v>0</v>
      </c>
      <c r="H22" s="273">
        <f t="shared" si="6"/>
        <v>0</v>
      </c>
      <c r="I22" s="273">
        <f t="shared" si="7"/>
        <v>0</v>
      </c>
      <c r="K22" s="481">
        <v>10422.280000000001</v>
      </c>
      <c r="L22" s="481">
        <v>0</v>
      </c>
      <c r="M22" s="481">
        <v>10422.280000000001</v>
      </c>
      <c r="N22" s="481">
        <v>0</v>
      </c>
      <c r="O22" s="481">
        <v>0</v>
      </c>
      <c r="P22" s="481">
        <v>0</v>
      </c>
      <c r="Q22" s="481">
        <v>0</v>
      </c>
    </row>
    <row r="23" spans="1:18">
      <c r="J23" s="200"/>
    </row>
    <row r="24" spans="1:18">
      <c r="A24" s="484"/>
      <c r="B24" s="485"/>
      <c r="C24" s="486" t="str">
        <f>"1_"&amp;" "&amp;Start!$D$2</f>
        <v>1_ 2024</v>
      </c>
      <c r="D24" s="486" t="str">
        <f>"2_"&amp;" "&amp;Start!$D$2</f>
        <v>2_ 2024</v>
      </c>
      <c r="E24" s="486" t="str">
        <f>"3_"&amp;" "&amp;Start!$D$2</f>
        <v>3_ 2024</v>
      </c>
      <c r="F24" s="486" t="str">
        <f>"4_"&amp;" "&amp;Start!$D$2</f>
        <v>4_ 2024</v>
      </c>
      <c r="G24" s="486" t="str">
        <f>"5_"&amp;" "&amp;Start!$D$2</f>
        <v>5_ 2024</v>
      </c>
      <c r="H24" s="486" t="str">
        <f>"6_"&amp;" "&amp;Start!$D$2</f>
        <v>6_ 2024</v>
      </c>
      <c r="I24" s="486" t="str">
        <f>"7_"&amp;" "&amp;Start!$D$2</f>
        <v>7_ 2024</v>
      </c>
      <c r="J24" s="486" t="str">
        <f>"8_"&amp;" "&amp;Start!$D$2</f>
        <v>8_ 2024</v>
      </c>
      <c r="K24" s="486" t="str">
        <f>"9_"&amp;" "&amp;Start!$D$2</f>
        <v>9_ 2024</v>
      </c>
      <c r="L24" s="486" t="str">
        <f>"10_"&amp;" "&amp;Start!$D$2</f>
        <v>10_ 2024</v>
      </c>
      <c r="M24" s="486" t="str">
        <f>"11_"&amp;" "&amp;Start!$D$2</f>
        <v>11_ 2024</v>
      </c>
      <c r="N24" s="486" t="str">
        <f>"12_"&amp;" "&amp;Start!$D$2</f>
        <v>12_ 2024</v>
      </c>
      <c r="O24" s="486" t="str">
        <f>"1_"&amp;" "&amp;Start!$D$2+1</f>
        <v>1_ 2025</v>
      </c>
    </row>
    <row r="25" spans="1:18" ht="14.5" customHeight="1">
      <c r="A25" s="489" t="s">
        <v>299</v>
      </c>
      <c r="B25" s="490"/>
      <c r="C25" s="495">
        <v>26.68</v>
      </c>
      <c r="D25" s="496">
        <v>29.44</v>
      </c>
      <c r="E25" s="496">
        <f t="shared" ref="E25:O25" si="8">D25</f>
        <v>29.44</v>
      </c>
      <c r="F25" s="496">
        <f t="shared" si="8"/>
        <v>29.44</v>
      </c>
      <c r="G25" s="496">
        <f t="shared" si="8"/>
        <v>29.44</v>
      </c>
      <c r="H25" s="496">
        <f t="shared" si="8"/>
        <v>29.44</v>
      </c>
      <c r="I25" s="496">
        <f t="shared" si="8"/>
        <v>29.44</v>
      </c>
      <c r="J25" s="496">
        <f t="shared" si="8"/>
        <v>29.44</v>
      </c>
      <c r="K25" s="496">
        <f t="shared" si="8"/>
        <v>29.44</v>
      </c>
      <c r="L25" s="496">
        <f t="shared" si="8"/>
        <v>29.44</v>
      </c>
      <c r="M25" s="496">
        <f t="shared" si="8"/>
        <v>29.44</v>
      </c>
      <c r="N25" s="496">
        <f t="shared" si="8"/>
        <v>29.44</v>
      </c>
      <c r="O25" s="497">
        <f t="shared" si="8"/>
        <v>29.44</v>
      </c>
      <c r="R25" s="51" t="s">
        <v>411</v>
      </c>
    </row>
    <row r="26" spans="1:18" ht="14.5" customHeight="1">
      <c r="A26" s="487" t="s">
        <v>300</v>
      </c>
      <c r="B26" s="491"/>
      <c r="C26" s="493">
        <v>14.74</v>
      </c>
      <c r="D26" s="496">
        <v>18.5</v>
      </c>
      <c r="E26" s="496">
        <f t="shared" ref="E26:O26" si="9">D26</f>
        <v>18.5</v>
      </c>
      <c r="F26" s="496">
        <f t="shared" si="9"/>
        <v>18.5</v>
      </c>
      <c r="G26" s="496">
        <f t="shared" si="9"/>
        <v>18.5</v>
      </c>
      <c r="H26" s="496">
        <f t="shared" si="9"/>
        <v>18.5</v>
      </c>
      <c r="I26" s="496">
        <f t="shared" si="9"/>
        <v>18.5</v>
      </c>
      <c r="J26" s="496">
        <f t="shared" si="9"/>
        <v>18.5</v>
      </c>
      <c r="K26" s="496">
        <f t="shared" si="9"/>
        <v>18.5</v>
      </c>
      <c r="L26" s="496">
        <f t="shared" si="9"/>
        <v>18.5</v>
      </c>
      <c r="M26" s="496">
        <f t="shared" si="9"/>
        <v>18.5</v>
      </c>
      <c r="N26" s="496">
        <f t="shared" si="9"/>
        <v>18.5</v>
      </c>
      <c r="O26" s="497">
        <f t="shared" si="9"/>
        <v>18.5</v>
      </c>
      <c r="R26" s="51" t="s">
        <v>409</v>
      </c>
    </row>
    <row r="27" spans="1:18" ht="14.5" customHeight="1">
      <c r="A27" s="487" t="s">
        <v>301</v>
      </c>
      <c r="B27" s="491"/>
      <c r="C27" s="493">
        <v>778.08</v>
      </c>
      <c r="D27" s="496">
        <v>778.08</v>
      </c>
      <c r="E27" s="496">
        <f t="shared" ref="E27:O27" si="10">D27</f>
        <v>778.08</v>
      </c>
      <c r="F27" s="496">
        <f t="shared" si="10"/>
        <v>778.08</v>
      </c>
      <c r="G27" s="496">
        <f t="shared" si="10"/>
        <v>778.08</v>
      </c>
      <c r="H27" s="496">
        <f t="shared" si="10"/>
        <v>778.08</v>
      </c>
      <c r="I27" s="496">
        <f t="shared" si="10"/>
        <v>778.08</v>
      </c>
      <c r="J27" s="496">
        <f t="shared" si="10"/>
        <v>778.08</v>
      </c>
      <c r="K27" s="496">
        <f t="shared" si="10"/>
        <v>778.08</v>
      </c>
      <c r="L27" s="496">
        <f t="shared" si="10"/>
        <v>778.08</v>
      </c>
      <c r="M27" s="496">
        <f t="shared" si="10"/>
        <v>778.08</v>
      </c>
      <c r="N27" s="496">
        <f t="shared" si="10"/>
        <v>778.08</v>
      </c>
      <c r="O27" s="497">
        <f t="shared" si="10"/>
        <v>778.08</v>
      </c>
      <c r="P27" s="129" t="s">
        <v>407</v>
      </c>
    </row>
    <row r="28" spans="1:18" ht="14.5" customHeight="1">
      <c r="A28" s="487" t="s">
        <v>439</v>
      </c>
      <c r="B28" s="491"/>
      <c r="C28" s="493">
        <v>6.68</v>
      </c>
      <c r="D28" s="496">
        <v>6.68</v>
      </c>
      <c r="E28" s="496">
        <f t="shared" ref="E28:O28" si="11">D28</f>
        <v>6.68</v>
      </c>
      <c r="F28" s="496">
        <f t="shared" si="11"/>
        <v>6.68</v>
      </c>
      <c r="G28" s="496">
        <f t="shared" si="11"/>
        <v>6.68</v>
      </c>
      <c r="H28" s="496">
        <f t="shared" si="11"/>
        <v>6.68</v>
      </c>
      <c r="I28" s="496">
        <f t="shared" si="11"/>
        <v>6.68</v>
      </c>
      <c r="J28" s="496">
        <f t="shared" si="11"/>
        <v>6.68</v>
      </c>
      <c r="K28" s="496">
        <f t="shared" si="11"/>
        <v>6.68</v>
      </c>
      <c r="L28" s="496">
        <f t="shared" si="11"/>
        <v>6.68</v>
      </c>
      <c r="M28" s="496">
        <f t="shared" si="11"/>
        <v>6.68</v>
      </c>
      <c r="N28" s="496">
        <f t="shared" si="11"/>
        <v>6.68</v>
      </c>
      <c r="O28" s="497">
        <f t="shared" si="11"/>
        <v>6.68</v>
      </c>
      <c r="P28" s="129" t="s">
        <v>406</v>
      </c>
      <c r="R28" s="51" t="s">
        <v>410</v>
      </c>
    </row>
    <row r="29" spans="1:18" ht="14.5" customHeight="1">
      <c r="A29" s="488" t="s">
        <v>440</v>
      </c>
      <c r="B29" s="492"/>
      <c r="C29" s="494">
        <v>150</v>
      </c>
      <c r="D29" s="496">
        <v>150</v>
      </c>
      <c r="E29" s="496">
        <f t="shared" ref="E29:O29" si="12">D29</f>
        <v>150</v>
      </c>
      <c r="F29" s="496">
        <f t="shared" si="12"/>
        <v>150</v>
      </c>
      <c r="G29" s="496">
        <f t="shared" si="12"/>
        <v>150</v>
      </c>
      <c r="H29" s="496">
        <f t="shared" si="12"/>
        <v>150</v>
      </c>
      <c r="I29" s="496">
        <f t="shared" si="12"/>
        <v>150</v>
      </c>
      <c r="J29" s="496">
        <f t="shared" si="12"/>
        <v>150</v>
      </c>
      <c r="K29" s="496">
        <f t="shared" si="12"/>
        <v>150</v>
      </c>
      <c r="L29" s="496">
        <f t="shared" si="12"/>
        <v>150</v>
      </c>
      <c r="M29" s="496">
        <f t="shared" si="12"/>
        <v>150</v>
      </c>
      <c r="N29" s="496">
        <f t="shared" si="12"/>
        <v>150</v>
      </c>
      <c r="O29" s="497">
        <f t="shared" si="12"/>
        <v>150</v>
      </c>
      <c r="P29" s="129" t="s">
        <v>408</v>
      </c>
    </row>
    <row r="31" spans="1:18">
      <c r="I31" s="443"/>
      <c r="J31" s="444" t="s">
        <v>353</v>
      </c>
      <c r="K31" s="445"/>
      <c r="L31" s="445"/>
      <c r="M31" s="445"/>
      <c r="N31" s="445"/>
      <c r="O31" s="446"/>
    </row>
    <row r="32" spans="1:18">
      <c r="C32" s="650" t="s">
        <v>384</v>
      </c>
      <c r="D32" s="651"/>
      <c r="E32" s="652"/>
      <c r="I32" s="435" t="s">
        <v>343</v>
      </c>
      <c r="J32" s="54">
        <v>3</v>
      </c>
      <c r="K32" s="51" t="s">
        <v>339</v>
      </c>
      <c r="O32" s="447"/>
    </row>
    <row r="33" spans="3:15">
      <c r="C33" s="405"/>
      <c r="D33" s="55"/>
      <c r="E33" s="406"/>
      <c r="I33" s="435" t="s">
        <v>344</v>
      </c>
      <c r="J33" s="54">
        <v>4</v>
      </c>
      <c r="K33" s="51" t="s">
        <v>341</v>
      </c>
      <c r="O33" s="447"/>
    </row>
    <row r="34" spans="3:15">
      <c r="C34" s="648" t="s">
        <v>324</v>
      </c>
      <c r="D34" s="649"/>
      <c r="E34" s="407">
        <f>Start!$D$12</f>
        <v>40</v>
      </c>
      <c r="I34" s="435" t="s">
        <v>345</v>
      </c>
      <c r="J34" s="54">
        <v>5</v>
      </c>
      <c r="K34" s="51" t="s">
        <v>361</v>
      </c>
      <c r="O34" s="447"/>
    </row>
    <row r="35" spans="3:15">
      <c r="C35" s="417"/>
      <c r="D35" s="133"/>
      <c r="E35" s="408"/>
      <c r="I35" s="435" t="s">
        <v>346</v>
      </c>
      <c r="J35" s="54">
        <v>6</v>
      </c>
      <c r="K35" s="51" t="s">
        <v>340</v>
      </c>
      <c r="O35" s="447"/>
    </row>
    <row r="36" spans="3:15">
      <c r="C36" s="648" t="s">
        <v>325</v>
      </c>
      <c r="D36" s="649"/>
      <c r="E36" s="409">
        <f>Start!$E$12</f>
        <v>5</v>
      </c>
      <c r="I36" s="435" t="s">
        <v>347</v>
      </c>
      <c r="J36" s="54">
        <v>7</v>
      </c>
      <c r="K36" s="51" t="s">
        <v>338</v>
      </c>
      <c r="O36" s="447"/>
    </row>
    <row r="37" spans="3:15">
      <c r="C37" s="417"/>
      <c r="D37" s="133"/>
      <c r="E37" s="408"/>
      <c r="I37" s="435" t="s">
        <v>348</v>
      </c>
      <c r="J37" s="54">
        <v>6</v>
      </c>
      <c r="K37" s="51" t="s">
        <v>436</v>
      </c>
      <c r="O37" s="447"/>
    </row>
    <row r="38" spans="3:15">
      <c r="C38" s="648" t="s">
        <v>326</v>
      </c>
      <c r="D38" s="649"/>
      <c r="E38" s="410">
        <f>$E$34/$E$36</f>
        <v>8</v>
      </c>
      <c r="I38" s="435" t="s">
        <v>349</v>
      </c>
      <c r="J38" s="54">
        <v>8</v>
      </c>
      <c r="K38" s="51" t="s">
        <v>342</v>
      </c>
      <c r="O38" s="447"/>
    </row>
    <row r="39" spans="3:15">
      <c r="C39" s="411"/>
      <c r="D39" s="131"/>
      <c r="E39" s="412"/>
      <c r="I39" s="435" t="s">
        <v>350</v>
      </c>
      <c r="J39" s="54">
        <v>8</v>
      </c>
      <c r="K39" s="51" t="s">
        <v>437</v>
      </c>
      <c r="O39" s="447"/>
    </row>
    <row r="40" spans="3:15">
      <c r="I40" s="435" t="s">
        <v>351</v>
      </c>
      <c r="J40" s="54">
        <v>9</v>
      </c>
      <c r="K40" s="51" t="s">
        <v>352</v>
      </c>
      <c r="O40" s="447"/>
    </row>
    <row r="41" spans="3:15">
      <c r="I41" s="436" t="s">
        <v>417</v>
      </c>
      <c r="J41" s="448">
        <v>9</v>
      </c>
      <c r="K41" s="131" t="s">
        <v>438</v>
      </c>
      <c r="L41" s="131"/>
      <c r="M41" s="131"/>
      <c r="N41" s="131"/>
      <c r="O41" s="412"/>
    </row>
  </sheetData>
  <sheetProtection algorithmName="SHA-512" hashValue="yAufXEwzIKERJ+ixRFw9lndeI/Z8XvhbbGcMD5qag4+/ztGNPvCRfsouNuzyJjKbMGY+x4RWhLq27TVPhijdlA==" saltValue="EhEITcHmL0jM25dnDi5WJQ==" spinCount="100000" sheet="1" objects="1" scenarios="1"/>
  <mergeCells count="11">
    <mergeCell ref="C38:D38"/>
    <mergeCell ref="K2:M2"/>
    <mergeCell ref="C34:D34"/>
    <mergeCell ref="C36:D36"/>
    <mergeCell ref="C32:E32"/>
    <mergeCell ref="A1:B1"/>
    <mergeCell ref="K1:Q1"/>
    <mergeCell ref="C2:E2"/>
    <mergeCell ref="F2:I2"/>
    <mergeCell ref="C1:I1"/>
    <mergeCell ref="N2:Q2"/>
  </mergeCells>
  <pageMargins left="0" right="0" top="0" bottom="0" header="0" footer="0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6"/>
  <dimension ref="A1:H73"/>
  <sheetViews>
    <sheetView showGridLines="0" showRowColHeaders="0" zoomScaleNormal="100" workbookViewId="0">
      <selection activeCell="B5" sqref="B5"/>
    </sheetView>
  </sheetViews>
  <sheetFormatPr baseColWidth="10" defaultColWidth="7.5" defaultRowHeight="15"/>
  <cols>
    <col min="1" max="4" width="12" style="1" customWidth="1"/>
    <col min="5" max="5" width="9.83203125" style="1" customWidth="1"/>
    <col min="6" max="6" width="31.1640625" style="1" customWidth="1"/>
    <col min="7" max="7" width="10.1640625" style="1" customWidth="1"/>
    <col min="8" max="16384" width="7.5" style="1"/>
  </cols>
  <sheetData>
    <row r="1" spans="1:8" ht="19" customHeight="1">
      <c r="A1" s="23"/>
    </row>
    <row r="2" spans="1:8" ht="27" customHeight="1">
      <c r="A2" s="522" t="s">
        <v>45</v>
      </c>
      <c r="B2" s="522"/>
      <c r="C2" s="522"/>
      <c r="D2" s="522"/>
      <c r="E2" s="522"/>
      <c r="F2" s="522"/>
    </row>
    <row r="3" spans="1:8" ht="23" customHeight="1">
      <c r="A3" s="18" t="s">
        <v>46</v>
      </c>
      <c r="B3" s="523" t="str">
        <f>IF(Start!$D$4="","Max Mustermann",Start!$D$4)</f>
        <v>Max Mustermann</v>
      </c>
      <c r="C3" s="523"/>
      <c r="D3" s="523"/>
      <c r="E3" s="26" t="s">
        <v>47</v>
      </c>
      <c r="F3" s="36" t="str">
        <f>IF(Start!$D$6="","",Start!$D$6)</f>
        <v/>
      </c>
    </row>
    <row r="4" spans="1:8" ht="23" customHeight="1">
      <c r="A4" s="18" t="s">
        <v>48</v>
      </c>
      <c r="B4" s="524" t="s">
        <v>62</v>
      </c>
      <c r="C4" s="524"/>
      <c r="D4" s="524"/>
      <c r="E4" s="524"/>
      <c r="F4" s="525"/>
    </row>
    <row r="5" spans="1:8" ht="15.75" customHeight="1">
      <c r="A5" s="18" t="s">
        <v>49</v>
      </c>
      <c r="B5" s="46" t="s">
        <v>90</v>
      </c>
      <c r="C5" s="27" t="s">
        <v>0</v>
      </c>
      <c r="D5" s="37">
        <f>IF($B$5="Jänner.",Start!$D$2+1,Start!$D$2)</f>
        <v>2024</v>
      </c>
      <c r="E5" s="25"/>
      <c r="F5" s="28"/>
    </row>
    <row r="6" spans="1:8" ht="2" customHeight="1">
      <c r="A6" s="516"/>
      <c r="B6" s="517"/>
      <c r="C6" s="517"/>
      <c r="D6" s="517"/>
      <c r="E6" s="517"/>
      <c r="F6" s="2"/>
      <c r="G6" s="50"/>
    </row>
    <row r="7" spans="1:8" ht="15.75" customHeight="1">
      <c r="A7" s="3"/>
      <c r="B7" s="45"/>
      <c r="C7" s="520" t="s">
        <v>50</v>
      </c>
      <c r="D7" s="520"/>
      <c r="E7" s="520"/>
      <c r="F7" s="521"/>
      <c r="G7" s="49"/>
    </row>
    <row r="8" spans="1:8" ht="2" customHeight="1">
      <c r="A8" s="518"/>
      <c r="B8" s="519"/>
      <c r="C8" s="519"/>
      <c r="D8" s="519"/>
      <c r="E8" s="519"/>
      <c r="F8" s="29"/>
      <c r="G8" s="49"/>
    </row>
    <row r="9" spans="1:8" ht="2" customHeight="1">
      <c r="A9" s="4"/>
      <c r="B9" s="5"/>
      <c r="C9" s="5"/>
      <c r="D9" s="5"/>
      <c r="E9" s="5"/>
      <c r="F9" s="30"/>
      <c r="G9" s="49"/>
    </row>
    <row r="10" spans="1:8" ht="15.75" customHeight="1">
      <c r="A10" s="6"/>
      <c r="B10" s="45"/>
      <c r="C10" s="520" t="s">
        <v>57</v>
      </c>
      <c r="D10" s="520"/>
      <c r="E10" s="520"/>
      <c r="F10" s="521"/>
      <c r="G10" s="49"/>
      <c r="H10" s="24"/>
    </row>
    <row r="11" spans="1:8" ht="2" customHeight="1">
      <c r="A11" s="6"/>
      <c r="B11" s="7"/>
      <c r="C11" s="7"/>
      <c r="D11" s="7"/>
      <c r="E11" s="8"/>
      <c r="F11" s="9"/>
    </row>
    <row r="12" spans="1:8" ht="23" customHeight="1">
      <c r="A12" s="31"/>
      <c r="B12" s="501" t="s">
        <v>13</v>
      </c>
      <c r="C12" s="502"/>
      <c r="D12" s="10"/>
      <c r="E12" s="500" t="s">
        <v>51</v>
      </c>
      <c r="F12" s="515"/>
    </row>
    <row r="13" spans="1:8" ht="23" customHeight="1">
      <c r="A13" s="32" t="s">
        <v>52</v>
      </c>
      <c r="B13" s="21" t="s">
        <v>14</v>
      </c>
      <c r="C13" s="11" t="s">
        <v>53</v>
      </c>
      <c r="D13" s="11" t="s">
        <v>54</v>
      </c>
      <c r="E13" s="500"/>
      <c r="F13" s="515"/>
    </row>
    <row r="14" spans="1:8" ht="22.5" customHeight="1">
      <c r="A14" s="47" t="str">
        <f t="array" aca="1" ref="A14" ca="1">IF((ROW(A1)&lt;=(COUNTIF((INDIRECT($B$5&amp;"!F14:F44")),"&gt;0"))),SMALL(IF((INDIRECT($B$5&amp;"!F14:F44"))&gt;0,(INDIRECT($B$5&amp;"!C14:C44"))),ROW(A1)),"")</f>
        <v/>
      </c>
      <c r="B14" s="42" t="str">
        <f t="array" aca="1" ref="B14" ca="1">IF(A14="","",VLOOKUP(A14,(INDIRECT($B$5&amp;"!C14:F44")),4,FALSE))</f>
        <v/>
      </c>
      <c r="C14" s="43" t="str">
        <f ca="1">IF(A14="","",VLOOKUP(A14,(INDIRECT($B$5&amp;"!C14:G44")),5,FALSE))</f>
        <v/>
      </c>
      <c r="D14" s="44" t="str">
        <f ca="1">IF(A14="","",((C14-B14)*24))</f>
        <v/>
      </c>
      <c r="E14" s="513" t="str">
        <f ca="1">IF(A14="","",IF((VLOOKUP(A14,(INDIRECT($B$5&amp;"!C14:S44")),17,FALSE))="","Grund fehlt",VLOOKUP(A14,(INDIRECT($B$5&amp;"!C14:S44")),17,FALSE)))</f>
        <v/>
      </c>
      <c r="F14" s="514"/>
      <c r="G14" s="34"/>
    </row>
    <row r="15" spans="1:8" ht="22.5" customHeight="1">
      <c r="A15" s="47" t="str">
        <f t="array" aca="1" ref="A15" ca="1">IF((ROW(A2)&lt;=(COUNTIF((INDIRECT($B$5&amp;"!F14:F44")),"&gt;0"))),SMALL(IF((INDIRECT($B$5&amp;"!F14:F44"))&gt;0,(INDIRECT($B$5&amp;"!C14:C44"))),ROW(A2)),"")</f>
        <v/>
      </c>
      <c r="B15" s="42" t="str">
        <f t="array" aca="1" ref="B15" ca="1">IF(A15="","",VLOOKUP(A15,(INDIRECT($B$5&amp;"!C14:F44")),4,FALSE))</f>
        <v/>
      </c>
      <c r="C15" s="43" t="str">
        <f t="shared" ref="C15:C34" ca="1" si="0">IF(A15="","",VLOOKUP(A15,(INDIRECT($B$5&amp;"!C14:G44")),5,FALSE))</f>
        <v/>
      </c>
      <c r="D15" s="44" t="str">
        <f t="shared" ref="D15:D34" ca="1" si="1">IF(A15="","",((C15-B15)*24))</f>
        <v/>
      </c>
      <c r="E15" s="513" t="str">
        <f t="shared" ref="E15:E34" ca="1" si="2">IF(A15="","",IF((VLOOKUP(A15,(INDIRECT($B$5&amp;"!C14:S44")),17,FALSE))="","Grund fehlt",VLOOKUP(A15,(INDIRECT($B$5&amp;"!C14:S44")),17,FALSE)))</f>
        <v/>
      </c>
      <c r="F15" s="514"/>
    </row>
    <row r="16" spans="1:8" ht="22.5" customHeight="1">
      <c r="A16" s="47" t="str">
        <f t="array" aca="1" ref="A16" ca="1">IF((ROW(A3)&lt;=(COUNTIF((INDIRECT($B$5&amp;"!F14:F44")),"&gt;0"))),SMALL(IF((INDIRECT($B$5&amp;"!F14:F44"))&gt;0,(INDIRECT($B$5&amp;"!C14:C44"))),ROW(A3)),"")</f>
        <v/>
      </c>
      <c r="B16" s="42" t="str">
        <f t="array" aca="1" ref="B16" ca="1">IF(A16="","",VLOOKUP(A16,(INDIRECT($B$5&amp;"!C14:F44")),4,FALSE))</f>
        <v/>
      </c>
      <c r="C16" s="43" t="str">
        <f t="shared" ca="1" si="0"/>
        <v/>
      </c>
      <c r="D16" s="44" t="str">
        <f t="shared" ca="1" si="1"/>
        <v/>
      </c>
      <c r="E16" s="513" t="str">
        <f t="shared" ca="1" si="2"/>
        <v/>
      </c>
      <c r="F16" s="514"/>
    </row>
    <row r="17" spans="1:6" ht="22.5" customHeight="1">
      <c r="A17" s="47" t="str">
        <f t="array" aca="1" ref="A17" ca="1">IF((ROW(A4)&lt;=(COUNTIF((INDIRECT($B$5&amp;"!F14:F44")),"&gt;0"))),SMALL(IF((INDIRECT($B$5&amp;"!F14:F44"))&gt;0,(INDIRECT($B$5&amp;"!C14:C44"))),ROW(A4)),"")</f>
        <v/>
      </c>
      <c r="B17" s="42" t="str">
        <f t="array" aca="1" ref="B17" ca="1">IF(A17="","",VLOOKUP(A17,(INDIRECT($B$5&amp;"!C14:F44")),4,FALSE))</f>
        <v/>
      </c>
      <c r="C17" s="43" t="str">
        <f t="shared" ca="1" si="0"/>
        <v/>
      </c>
      <c r="D17" s="44" t="str">
        <f t="shared" ca="1" si="1"/>
        <v/>
      </c>
      <c r="E17" s="513" t="str">
        <f t="shared" ca="1" si="2"/>
        <v/>
      </c>
      <c r="F17" s="514"/>
    </row>
    <row r="18" spans="1:6" ht="22.5" customHeight="1">
      <c r="A18" s="47" t="str">
        <f t="array" aca="1" ref="A18" ca="1">IF((ROW(A5)&lt;=(COUNTIF((INDIRECT($B$5&amp;"!F14:F44")),"&gt;0"))),SMALL(IF((INDIRECT($B$5&amp;"!F14:F44"))&gt;0,(INDIRECT($B$5&amp;"!C14:C44"))),ROW(A5)),"")</f>
        <v/>
      </c>
      <c r="B18" s="42" t="str">
        <f t="array" aca="1" ref="B18" ca="1">IF(A18="","",VLOOKUP(A18,(INDIRECT($B$5&amp;"!C14:F44")),4,FALSE))</f>
        <v/>
      </c>
      <c r="C18" s="43" t="str">
        <f t="shared" ca="1" si="0"/>
        <v/>
      </c>
      <c r="D18" s="44" t="str">
        <f t="shared" ca="1" si="1"/>
        <v/>
      </c>
      <c r="E18" s="513" t="str">
        <f t="shared" ca="1" si="2"/>
        <v/>
      </c>
      <c r="F18" s="514"/>
    </row>
    <row r="19" spans="1:6" ht="22.5" customHeight="1">
      <c r="A19" s="47" t="str">
        <f t="array" aca="1" ref="A19" ca="1">IF((ROW(A6)&lt;=(COUNTIF((INDIRECT($B$5&amp;"!F14:F44")),"&gt;0"))),SMALL(IF((INDIRECT($B$5&amp;"!F14:F44"))&gt;0,(INDIRECT($B$5&amp;"!C14:C44"))),ROW(A6)),"")</f>
        <v/>
      </c>
      <c r="B19" s="42" t="str">
        <f t="array" aca="1" ref="B19" ca="1">IF(A19="","",VLOOKUP(A19,(INDIRECT($B$5&amp;"!C14:F44")),4,FALSE))</f>
        <v/>
      </c>
      <c r="C19" s="43" t="str">
        <f t="shared" ca="1" si="0"/>
        <v/>
      </c>
      <c r="D19" s="44" t="str">
        <f t="shared" ca="1" si="1"/>
        <v/>
      </c>
      <c r="E19" s="513" t="str">
        <f t="shared" ca="1" si="2"/>
        <v/>
      </c>
      <c r="F19" s="514"/>
    </row>
    <row r="20" spans="1:6" ht="22.5" customHeight="1">
      <c r="A20" s="47" t="str">
        <f t="array" aca="1" ref="A20" ca="1">IF((ROW(A7)&lt;=(COUNTIF((INDIRECT($B$5&amp;"!F14:F44")),"&gt;0"))),SMALL(IF((INDIRECT($B$5&amp;"!F14:F44"))&gt;0,(INDIRECT($B$5&amp;"!C14:C44"))),ROW(A7)),"")</f>
        <v/>
      </c>
      <c r="B20" s="42" t="str">
        <f t="array" aca="1" ref="B20" ca="1">IF(A20="","",VLOOKUP(A20,(INDIRECT($B$5&amp;"!C14:F44")),4,FALSE))</f>
        <v/>
      </c>
      <c r="C20" s="43" t="str">
        <f t="shared" ca="1" si="0"/>
        <v/>
      </c>
      <c r="D20" s="44" t="str">
        <f t="shared" ca="1" si="1"/>
        <v/>
      </c>
      <c r="E20" s="513" t="str">
        <f t="shared" ca="1" si="2"/>
        <v/>
      </c>
      <c r="F20" s="514"/>
    </row>
    <row r="21" spans="1:6" ht="22.5" customHeight="1">
      <c r="A21" s="47" t="str">
        <f t="array" aca="1" ref="A21" ca="1">IF((ROW(A8)&lt;=(COUNTIF((INDIRECT($B$5&amp;"!F14:F44")),"&gt;0"))),SMALL(IF((INDIRECT($B$5&amp;"!F14:F44"))&gt;0,(INDIRECT($B$5&amp;"!C14:C44"))),ROW(A8)),"")</f>
        <v/>
      </c>
      <c r="B21" s="42" t="str">
        <f t="array" aca="1" ref="B21" ca="1">IF(A21="","",VLOOKUP(A21,(INDIRECT($B$5&amp;"!C14:F44")),4,FALSE))</f>
        <v/>
      </c>
      <c r="C21" s="43" t="str">
        <f t="shared" ca="1" si="0"/>
        <v/>
      </c>
      <c r="D21" s="44" t="str">
        <f t="shared" ca="1" si="1"/>
        <v/>
      </c>
      <c r="E21" s="513" t="str">
        <f t="shared" ca="1" si="2"/>
        <v/>
      </c>
      <c r="F21" s="514"/>
    </row>
    <row r="22" spans="1:6" ht="22.5" customHeight="1">
      <c r="A22" s="47" t="str">
        <f t="array" aca="1" ref="A22" ca="1">IF((ROW(A9)&lt;=(COUNTIF((INDIRECT($B$5&amp;"!F14:F44")),"&gt;0"))),SMALL(IF((INDIRECT($B$5&amp;"!F14:F44"))&gt;0,(INDIRECT($B$5&amp;"!C14:C44"))),ROW(A9)),"")</f>
        <v/>
      </c>
      <c r="B22" s="42" t="str">
        <f t="array" aca="1" ref="B22" ca="1">IF(A22="","",VLOOKUP(A22,(INDIRECT($B$5&amp;"!C14:F44")),4,FALSE))</f>
        <v/>
      </c>
      <c r="C22" s="43" t="str">
        <f t="shared" ca="1" si="0"/>
        <v/>
      </c>
      <c r="D22" s="44" t="str">
        <f t="shared" ca="1" si="1"/>
        <v/>
      </c>
      <c r="E22" s="513" t="str">
        <f t="shared" ca="1" si="2"/>
        <v/>
      </c>
      <c r="F22" s="514"/>
    </row>
    <row r="23" spans="1:6" ht="22.5" customHeight="1">
      <c r="A23" s="47" t="str">
        <f t="array" aca="1" ref="A23" ca="1">IF((ROW(A10)&lt;=(COUNTIF((INDIRECT($B$5&amp;"!F14:F44")),"&gt;0"))),SMALL(IF((INDIRECT($B$5&amp;"!F14:F44"))&gt;0,(INDIRECT($B$5&amp;"!C14:C44"))),ROW(A10)),"")</f>
        <v/>
      </c>
      <c r="B23" s="42" t="str">
        <f t="array" aca="1" ref="B23" ca="1">IF(A23="","",VLOOKUP(A23,(INDIRECT($B$5&amp;"!C14:F44")),4,FALSE))</f>
        <v/>
      </c>
      <c r="C23" s="43" t="str">
        <f t="shared" ca="1" si="0"/>
        <v/>
      </c>
      <c r="D23" s="44" t="str">
        <f t="shared" ca="1" si="1"/>
        <v/>
      </c>
      <c r="E23" s="513" t="str">
        <f t="shared" ca="1" si="2"/>
        <v/>
      </c>
      <c r="F23" s="514"/>
    </row>
    <row r="24" spans="1:6" ht="22.5" customHeight="1">
      <c r="A24" s="47" t="str">
        <f t="array" aca="1" ref="A24" ca="1">IF((ROW(A11)&lt;=(COUNTIF((INDIRECT($B$5&amp;"!F14:F44")),"&gt;0"))),SMALL(IF((INDIRECT($B$5&amp;"!F14:F44"))&gt;0,(INDIRECT($B$5&amp;"!C14:C44"))),ROW(A11)),"")</f>
        <v/>
      </c>
      <c r="B24" s="42" t="str">
        <f t="array" aca="1" ref="B24" ca="1">IF(A24="","",VLOOKUP(A24,(INDIRECT($B$5&amp;"!C14:F44")),4,FALSE))</f>
        <v/>
      </c>
      <c r="C24" s="43" t="str">
        <f t="shared" ca="1" si="0"/>
        <v/>
      </c>
      <c r="D24" s="44" t="str">
        <f t="shared" ca="1" si="1"/>
        <v/>
      </c>
      <c r="E24" s="513" t="str">
        <f t="shared" ca="1" si="2"/>
        <v/>
      </c>
      <c r="F24" s="514"/>
    </row>
    <row r="25" spans="1:6" ht="22.5" customHeight="1">
      <c r="A25" s="47" t="str">
        <f t="array" aca="1" ref="A25" ca="1">IF((ROW(A12)&lt;=(COUNTIF((INDIRECT($B$5&amp;"!F14:F44")),"&gt;0"))),SMALL(IF((INDIRECT($B$5&amp;"!F14:F44"))&gt;0,(INDIRECT($B$5&amp;"!C14:C44"))),ROW(A12)),"")</f>
        <v/>
      </c>
      <c r="B25" s="42" t="str">
        <f t="array" aca="1" ref="B25" ca="1">IF(A25="","",VLOOKUP(A25,(INDIRECT($B$5&amp;"!C14:F44")),4,FALSE))</f>
        <v/>
      </c>
      <c r="C25" s="43" t="str">
        <f t="shared" ca="1" si="0"/>
        <v/>
      </c>
      <c r="D25" s="44" t="str">
        <f t="shared" ca="1" si="1"/>
        <v/>
      </c>
      <c r="E25" s="513" t="str">
        <f t="shared" ca="1" si="2"/>
        <v/>
      </c>
      <c r="F25" s="514"/>
    </row>
    <row r="26" spans="1:6" ht="22.5" customHeight="1">
      <c r="A26" s="47" t="str">
        <f t="array" aca="1" ref="A26" ca="1">IF((ROW(A13)&lt;=(COUNTIF((INDIRECT($B$5&amp;"!F14:F44")),"&gt;0"))),SMALL(IF((INDIRECT($B$5&amp;"!F14:F44"))&gt;0,(INDIRECT($B$5&amp;"!C14:C44"))),ROW(A13)),"")</f>
        <v/>
      </c>
      <c r="B26" s="42" t="str">
        <f t="array" aca="1" ref="B26" ca="1">IF(A26="","",VLOOKUP(A26,(INDIRECT($B$5&amp;"!C14:F44")),4,FALSE))</f>
        <v/>
      </c>
      <c r="C26" s="43" t="str">
        <f t="shared" ca="1" si="0"/>
        <v/>
      </c>
      <c r="D26" s="44" t="str">
        <f t="shared" ca="1" si="1"/>
        <v/>
      </c>
      <c r="E26" s="513" t="str">
        <f t="shared" ca="1" si="2"/>
        <v/>
      </c>
      <c r="F26" s="514"/>
    </row>
    <row r="27" spans="1:6" ht="22.5" customHeight="1">
      <c r="A27" s="47" t="str">
        <f t="array" aca="1" ref="A27" ca="1">IF((ROW(A14)&lt;=(COUNTIF((INDIRECT($B$5&amp;"!F14:F44")),"&gt;0"))),SMALL(IF((INDIRECT($B$5&amp;"!F14:F44"))&gt;0,(INDIRECT($B$5&amp;"!C14:C44"))),ROW(A14)),"")</f>
        <v/>
      </c>
      <c r="B27" s="42" t="str">
        <f t="array" aca="1" ref="B27" ca="1">IF(A27="","",VLOOKUP(A27,(INDIRECT($B$5&amp;"!C14:F44")),4,FALSE))</f>
        <v/>
      </c>
      <c r="C27" s="43" t="str">
        <f t="shared" ca="1" si="0"/>
        <v/>
      </c>
      <c r="D27" s="44" t="str">
        <f t="shared" ca="1" si="1"/>
        <v/>
      </c>
      <c r="E27" s="513" t="str">
        <f t="shared" ca="1" si="2"/>
        <v/>
      </c>
      <c r="F27" s="514"/>
    </row>
    <row r="28" spans="1:6" ht="22.5" customHeight="1">
      <c r="A28" s="47" t="str">
        <f t="array" aca="1" ref="A28" ca="1">IF((ROW(A15)&lt;=(COUNTIF((INDIRECT($B$5&amp;"!F14:F44")),"&gt;0"))),SMALL(IF((INDIRECT($B$5&amp;"!F14:F44"))&gt;0,(INDIRECT($B$5&amp;"!C14:C44"))),ROW(A15)),"")</f>
        <v/>
      </c>
      <c r="B28" s="42" t="str">
        <f t="array" aca="1" ref="B28" ca="1">IF(A28="","",VLOOKUP(A28,(INDIRECT($B$5&amp;"!C14:F44")),4,FALSE))</f>
        <v/>
      </c>
      <c r="C28" s="43" t="str">
        <f t="shared" ca="1" si="0"/>
        <v/>
      </c>
      <c r="D28" s="44" t="str">
        <f t="shared" ca="1" si="1"/>
        <v/>
      </c>
      <c r="E28" s="513" t="str">
        <f t="shared" ca="1" si="2"/>
        <v/>
      </c>
      <c r="F28" s="514"/>
    </row>
    <row r="29" spans="1:6" ht="22.5" customHeight="1">
      <c r="A29" s="47" t="str">
        <f t="array" aca="1" ref="A29" ca="1">IF((ROW(A16)&lt;=(COUNTIF((INDIRECT($B$5&amp;"!F14:F44")),"&gt;0"))),SMALL(IF((INDIRECT($B$5&amp;"!F14:F44"))&gt;0,(INDIRECT($B$5&amp;"!C14:C44"))),ROW(A16)),"")</f>
        <v/>
      </c>
      <c r="B29" s="42" t="str">
        <f t="array" aca="1" ref="B29" ca="1">IF(A29="","",VLOOKUP(A29,(INDIRECT($B$5&amp;"!C14:F44")),4,FALSE))</f>
        <v/>
      </c>
      <c r="C29" s="43" t="str">
        <f t="shared" ca="1" si="0"/>
        <v/>
      </c>
      <c r="D29" s="44" t="str">
        <f t="shared" ca="1" si="1"/>
        <v/>
      </c>
      <c r="E29" s="513" t="str">
        <f t="shared" ca="1" si="2"/>
        <v/>
      </c>
      <c r="F29" s="514"/>
    </row>
    <row r="30" spans="1:6" ht="22.5" customHeight="1">
      <c r="A30" s="47" t="str">
        <f t="array" aca="1" ref="A30" ca="1">IF((ROW(A17)&lt;=(COUNTIF((INDIRECT($B$5&amp;"!F14:F44")),"&gt;0"))),SMALL(IF((INDIRECT($B$5&amp;"!F14:F44"))&gt;0,(INDIRECT($B$5&amp;"!C14:C44"))),ROW(A17)),"")</f>
        <v/>
      </c>
      <c r="B30" s="42" t="str">
        <f t="array" aca="1" ref="B30" ca="1">IF(A30="","",VLOOKUP(A30,(INDIRECT($B$5&amp;"!C14:F44")),4,FALSE))</f>
        <v/>
      </c>
      <c r="C30" s="43" t="str">
        <f t="shared" ca="1" si="0"/>
        <v/>
      </c>
      <c r="D30" s="44" t="str">
        <f t="shared" ca="1" si="1"/>
        <v/>
      </c>
      <c r="E30" s="513" t="str">
        <f t="shared" ca="1" si="2"/>
        <v/>
      </c>
      <c r="F30" s="514"/>
    </row>
    <row r="31" spans="1:6" ht="22.5" customHeight="1">
      <c r="A31" s="47" t="str">
        <f t="array" aca="1" ref="A31" ca="1">IF((ROW(A18)&lt;=(COUNTIF((INDIRECT($B$5&amp;"!F14:F44")),"&gt;0"))),SMALL(IF((INDIRECT($B$5&amp;"!F14:F44"))&gt;0,(INDIRECT($B$5&amp;"!C14:C44"))),ROW(A18)),"")</f>
        <v/>
      </c>
      <c r="B31" s="42" t="str">
        <f t="array" aca="1" ref="B31" ca="1">IF(A31="","",VLOOKUP(A31,(INDIRECT($B$5&amp;"!C14:F44")),4,FALSE))</f>
        <v/>
      </c>
      <c r="C31" s="43" t="str">
        <f t="shared" ca="1" si="0"/>
        <v/>
      </c>
      <c r="D31" s="44" t="str">
        <f t="shared" ca="1" si="1"/>
        <v/>
      </c>
      <c r="E31" s="513" t="str">
        <f t="shared" ca="1" si="2"/>
        <v/>
      </c>
      <c r="F31" s="514"/>
    </row>
    <row r="32" spans="1:6" ht="22.5" customHeight="1">
      <c r="A32" s="47" t="str">
        <f t="array" aca="1" ref="A32" ca="1">IF((ROW(A19)&lt;=(COUNTIF((INDIRECT($B$5&amp;"!F14:F44")),"&gt;0"))),SMALL(IF((INDIRECT($B$5&amp;"!F14:F44"))&gt;0,(INDIRECT($B$5&amp;"!C14:C44"))),ROW(A19)),"")</f>
        <v/>
      </c>
      <c r="B32" s="42" t="str">
        <f t="array" aca="1" ref="B32" ca="1">IF(A32="","",VLOOKUP(A32,(INDIRECT($B$5&amp;"!C14:F44")),4,FALSE))</f>
        <v/>
      </c>
      <c r="C32" s="43" t="str">
        <f t="shared" ca="1" si="0"/>
        <v/>
      </c>
      <c r="D32" s="44" t="str">
        <f t="shared" ca="1" si="1"/>
        <v/>
      </c>
      <c r="E32" s="513" t="str">
        <f t="shared" ca="1" si="2"/>
        <v/>
      </c>
      <c r="F32" s="514"/>
    </row>
    <row r="33" spans="1:6" ht="22.5" customHeight="1">
      <c r="A33" s="47" t="str">
        <f t="array" aca="1" ref="A33" ca="1">IF((ROW(A20)&lt;=(COUNTIF((INDIRECT($B$5&amp;"!F14:F44")),"&gt;0"))),SMALL(IF((INDIRECT($B$5&amp;"!F14:F44"))&gt;0,(INDIRECT($B$5&amp;"!C14:C44"))),ROW(A20)),"")</f>
        <v/>
      </c>
      <c r="B33" s="42" t="str">
        <f t="array" aca="1" ref="B33" ca="1">IF(A33="","",VLOOKUP(A33,(INDIRECT($B$5&amp;"!C14:F44")),4,FALSE))</f>
        <v/>
      </c>
      <c r="C33" s="43" t="str">
        <f t="shared" ca="1" si="0"/>
        <v/>
      </c>
      <c r="D33" s="44" t="str">
        <f t="shared" ca="1" si="1"/>
        <v/>
      </c>
      <c r="E33" s="513" t="str">
        <f t="shared" ca="1" si="2"/>
        <v/>
      </c>
      <c r="F33" s="514"/>
    </row>
    <row r="34" spans="1:6" ht="22.5" customHeight="1">
      <c r="A34" s="47" t="str">
        <f t="array" aca="1" ref="A34" ca="1">IF((ROW(A21)&lt;=(COUNTIF((INDIRECT($B$5&amp;"!F14:F44")),"&gt;0"))),SMALL(IF((INDIRECT($B$5&amp;"!F14:F44"))&gt;0,(INDIRECT($B$5&amp;"!C14:C44"))),ROW(A21)),"")</f>
        <v/>
      </c>
      <c r="B34" s="42" t="str">
        <f t="array" aca="1" ref="B34" ca="1">IF(A34="","",VLOOKUP(A34,(INDIRECT($B$5&amp;"!C14:F44")),4,FALSE))</f>
        <v/>
      </c>
      <c r="C34" s="43" t="str">
        <f t="shared" ca="1" si="0"/>
        <v/>
      </c>
      <c r="D34" s="44" t="str">
        <f t="shared" ca="1" si="1"/>
        <v/>
      </c>
      <c r="E34" s="513" t="str">
        <f t="shared" ca="1" si="2"/>
        <v/>
      </c>
      <c r="F34" s="514"/>
    </row>
    <row r="35" spans="1:6" ht="16">
      <c r="A35" s="500" t="s">
        <v>55</v>
      </c>
      <c r="B35" s="501"/>
      <c r="C35" s="502"/>
      <c r="D35" s="38">
        <f ca="1">SUM($D$14:$D$34)</f>
        <v>0</v>
      </c>
      <c r="E35" s="6"/>
    </row>
    <row r="36" spans="1:6" ht="16">
      <c r="A36" s="40"/>
      <c r="B36" s="13"/>
      <c r="C36" s="13"/>
      <c r="D36" s="41"/>
      <c r="E36" s="7"/>
    </row>
    <row r="37" spans="1:6" ht="16">
      <c r="A37" s="13"/>
      <c r="B37" s="13"/>
      <c r="C37" s="13"/>
      <c r="D37" s="41"/>
      <c r="E37" s="7"/>
    </row>
    <row r="38" spans="1:6" ht="16">
      <c r="A38" s="13"/>
      <c r="B38" s="13"/>
      <c r="C38" s="13"/>
      <c r="D38" s="41"/>
      <c r="E38" s="7"/>
    </row>
    <row r="39" spans="1:6">
      <c r="A39" s="7"/>
    </row>
    <row r="40" spans="1:6" ht="16">
      <c r="A40" s="19"/>
      <c r="B40" s="501"/>
      <c r="C40" s="501"/>
      <c r="D40" s="12"/>
      <c r="E40" s="509" t="s">
        <v>51</v>
      </c>
      <c r="F40" s="510"/>
    </row>
    <row r="41" spans="1:6" ht="15.75" customHeight="1">
      <c r="A41" s="20" t="s">
        <v>52</v>
      </c>
      <c r="B41" s="33" t="s">
        <v>14</v>
      </c>
      <c r="C41" s="11" t="s">
        <v>53</v>
      </c>
      <c r="D41" s="11" t="s">
        <v>54</v>
      </c>
      <c r="E41" s="511"/>
      <c r="F41" s="512"/>
    </row>
    <row r="42" spans="1:6" ht="16">
      <c r="A42" s="504" t="s">
        <v>56</v>
      </c>
      <c r="B42" s="505"/>
      <c r="C42" s="506"/>
      <c r="D42" s="39">
        <f ca="1">$D$35</f>
        <v>0</v>
      </c>
      <c r="E42" s="507"/>
      <c r="F42" s="508"/>
    </row>
    <row r="43" spans="1:6" ht="22.5" customHeight="1">
      <c r="A43" s="47" t="str">
        <f t="array" aca="1" ref="A43" ca="1">IF((ROW(A1)&lt;=(COUNTIF((INDIRECT($B$5&amp;"!H14:H44")),"&gt;0"))),SMALL(IF((INDIRECT($B$5&amp;"!H14:H44"))&gt;0,(INDIRECT($B$5&amp;"!C14:C44"))),ROW(A1)),"")</f>
        <v/>
      </c>
      <c r="B43" s="42" t="str">
        <f ca="1">IF(A43="","",VLOOKUP(A43,(INDIRECT($B$5&amp;"!C14:H44")),6,FALSE))</f>
        <v/>
      </c>
      <c r="C43" s="43" t="str">
        <f ca="1">IF(A43="","",VLOOKUP(A43,(INDIRECT($B$5&amp;"!C14:I44")),7,FALSE))</f>
        <v/>
      </c>
      <c r="D43" s="44" t="str">
        <f ca="1">IF(A43="","",IF(C43&gt;B43,(C43-B43)*24,(1+C43-B43)*24))</f>
        <v/>
      </c>
      <c r="E43" s="498"/>
      <c r="F43" s="499"/>
    </row>
    <row r="44" spans="1:6" ht="22.5" customHeight="1">
      <c r="A44" s="47" t="str">
        <f t="array" aca="1" ref="A44" ca="1">IF((ROW(A2)&lt;=(COUNTIF((INDIRECT($B$5&amp;"!H14:H44")),"&gt;0"))),SMALL(IF((INDIRECT($B$5&amp;"!H14:H44"))&gt;0,(INDIRECT($B$5&amp;"!C14:C44"))),ROW(A2)),"")</f>
        <v/>
      </c>
      <c r="B44" s="42" t="str">
        <f t="shared" ref="B44:B65" ca="1" si="3">IF(A44="","",VLOOKUP(A44,(INDIRECT($B$5&amp;"!C14:H44")),6,FALSE))</f>
        <v/>
      </c>
      <c r="C44" s="43" t="str">
        <f t="shared" ref="C44:C65" ca="1" si="4">IF(A44="","",VLOOKUP(A44,(INDIRECT($B$5&amp;"!C14:I44")),7,FALSE))</f>
        <v/>
      </c>
      <c r="D44" s="44" t="str">
        <f t="shared" ref="D44:D65" ca="1" si="5">IF(A44="","",IF(C44&gt;B44,(C44-B44)*24,(1+C44-B44)*24))</f>
        <v/>
      </c>
      <c r="E44" s="498"/>
      <c r="F44" s="499"/>
    </row>
    <row r="45" spans="1:6" ht="22.5" customHeight="1">
      <c r="A45" s="47" t="str">
        <f t="array" aca="1" ref="A45" ca="1">IF((ROW(A3)&lt;=(COUNTIF((INDIRECT($B$5&amp;"!H14:H44")),"&gt;0"))),SMALL(IF((INDIRECT($B$5&amp;"!H14:H44"))&gt;0,(INDIRECT($B$5&amp;"!C14:C44"))),ROW(A3)),"")</f>
        <v/>
      </c>
      <c r="B45" s="42" t="str">
        <f t="shared" ca="1" si="3"/>
        <v/>
      </c>
      <c r="C45" s="43" t="str">
        <f t="shared" ca="1" si="4"/>
        <v/>
      </c>
      <c r="D45" s="44" t="str">
        <f t="shared" ca="1" si="5"/>
        <v/>
      </c>
      <c r="E45" s="498"/>
      <c r="F45" s="499"/>
    </row>
    <row r="46" spans="1:6" ht="22.5" customHeight="1">
      <c r="A46" s="47" t="str">
        <f t="array" aca="1" ref="A46" ca="1">IF((ROW(A4)&lt;=(COUNTIF((INDIRECT($B$5&amp;"!H14:H44")),"&gt;0"))),SMALL(IF((INDIRECT($B$5&amp;"!H14:H44"))&gt;0,(INDIRECT($B$5&amp;"!C14:C44"))),ROW(A4)),"")</f>
        <v/>
      </c>
      <c r="B46" s="42" t="str">
        <f t="shared" ca="1" si="3"/>
        <v/>
      </c>
      <c r="C46" s="43" t="str">
        <f t="shared" ca="1" si="4"/>
        <v/>
      </c>
      <c r="D46" s="44" t="str">
        <f t="shared" ca="1" si="5"/>
        <v/>
      </c>
      <c r="E46" s="498"/>
      <c r="F46" s="499"/>
    </row>
    <row r="47" spans="1:6" ht="22.5" customHeight="1">
      <c r="A47" s="47" t="str">
        <f t="array" aca="1" ref="A47" ca="1">IF((ROW(A5)&lt;=(COUNTIF((INDIRECT($B$5&amp;"!H14:H44")),"&gt;0"))),SMALL(IF((INDIRECT($B$5&amp;"!H14:H44"))&gt;0,(INDIRECT($B$5&amp;"!C14:C44"))),ROW(A5)),"")</f>
        <v/>
      </c>
      <c r="B47" s="42" t="str">
        <f t="shared" ca="1" si="3"/>
        <v/>
      </c>
      <c r="C47" s="43" t="str">
        <f t="shared" ca="1" si="4"/>
        <v/>
      </c>
      <c r="D47" s="44" t="str">
        <f t="shared" ca="1" si="5"/>
        <v/>
      </c>
      <c r="E47" s="498"/>
      <c r="F47" s="499"/>
    </row>
    <row r="48" spans="1:6" ht="22.5" customHeight="1">
      <c r="A48" s="47" t="str">
        <f t="array" aca="1" ref="A48" ca="1">IF((ROW(A6)&lt;=(COUNTIF((INDIRECT($B$5&amp;"!H14:H44")),"&gt;0"))),SMALL(IF((INDIRECT($B$5&amp;"!H14:H44"))&gt;0,(INDIRECT($B$5&amp;"!C14:C44"))),ROW(A6)),"")</f>
        <v/>
      </c>
      <c r="B48" s="42" t="str">
        <f t="shared" ca="1" si="3"/>
        <v/>
      </c>
      <c r="C48" s="43" t="str">
        <f t="shared" ca="1" si="4"/>
        <v/>
      </c>
      <c r="D48" s="44" t="str">
        <f t="shared" ca="1" si="5"/>
        <v/>
      </c>
      <c r="E48" s="498"/>
      <c r="F48" s="499"/>
    </row>
    <row r="49" spans="1:6" ht="22.5" customHeight="1">
      <c r="A49" s="47" t="str">
        <f t="array" aca="1" ref="A49" ca="1">IF((ROW(A7)&lt;=(COUNTIF((INDIRECT($B$5&amp;"!H14:H44")),"&gt;0"))),SMALL(IF((INDIRECT($B$5&amp;"!H14:H44"))&gt;0,(INDIRECT($B$5&amp;"!C14:C44"))),ROW(A7)),"")</f>
        <v/>
      </c>
      <c r="B49" s="42" t="str">
        <f t="shared" ca="1" si="3"/>
        <v/>
      </c>
      <c r="C49" s="43" t="str">
        <f t="shared" ca="1" si="4"/>
        <v/>
      </c>
      <c r="D49" s="44" t="str">
        <f t="shared" ca="1" si="5"/>
        <v/>
      </c>
      <c r="E49" s="498"/>
      <c r="F49" s="499"/>
    </row>
    <row r="50" spans="1:6" ht="22.5" customHeight="1">
      <c r="A50" s="47" t="str">
        <f t="array" aca="1" ref="A50" ca="1">IF((ROW(A8)&lt;=(COUNTIF((INDIRECT($B$5&amp;"!H14:H44")),"&gt;0"))),SMALL(IF((INDIRECT($B$5&amp;"!H14:H44"))&gt;0,(INDIRECT($B$5&amp;"!C14:C44"))),ROW(A8)),"")</f>
        <v/>
      </c>
      <c r="B50" s="42" t="str">
        <f t="shared" ca="1" si="3"/>
        <v/>
      </c>
      <c r="C50" s="43" t="str">
        <f t="shared" ca="1" si="4"/>
        <v/>
      </c>
      <c r="D50" s="44" t="str">
        <f t="shared" ca="1" si="5"/>
        <v/>
      </c>
      <c r="E50" s="498"/>
      <c r="F50" s="499"/>
    </row>
    <row r="51" spans="1:6" ht="22.5" customHeight="1">
      <c r="A51" s="47" t="str">
        <f t="array" aca="1" ref="A51" ca="1">IF((ROW(A9)&lt;=(COUNTIF((INDIRECT($B$5&amp;"!H14:H44")),"&gt;0"))),SMALL(IF((INDIRECT($B$5&amp;"!H14:H44"))&gt;0,(INDIRECT($B$5&amp;"!C14:C44"))),ROW(A9)),"")</f>
        <v/>
      </c>
      <c r="B51" s="42" t="str">
        <f t="shared" ca="1" si="3"/>
        <v/>
      </c>
      <c r="C51" s="43" t="str">
        <f t="shared" ca="1" si="4"/>
        <v/>
      </c>
      <c r="D51" s="44" t="str">
        <f t="shared" ca="1" si="5"/>
        <v/>
      </c>
      <c r="E51" s="498"/>
      <c r="F51" s="499"/>
    </row>
    <row r="52" spans="1:6" ht="22.5" customHeight="1">
      <c r="A52" s="47" t="str">
        <f t="array" aca="1" ref="A52" ca="1">IF((ROW(A10)&lt;=(COUNTIF((INDIRECT($B$5&amp;"!H14:H44")),"&gt;0"))),SMALL(IF((INDIRECT($B$5&amp;"!H14:H44"))&gt;0,(INDIRECT($B$5&amp;"!C14:C44"))),ROW(A10)),"")</f>
        <v/>
      </c>
      <c r="B52" s="42" t="str">
        <f t="shared" ca="1" si="3"/>
        <v/>
      </c>
      <c r="C52" s="43" t="str">
        <f t="shared" ca="1" si="4"/>
        <v/>
      </c>
      <c r="D52" s="44" t="str">
        <f t="shared" ca="1" si="5"/>
        <v/>
      </c>
      <c r="E52" s="498"/>
      <c r="F52" s="499"/>
    </row>
    <row r="53" spans="1:6" ht="22.5" customHeight="1">
      <c r="A53" s="47" t="str">
        <f t="array" aca="1" ref="A53" ca="1">IF((ROW(A11)&lt;=(COUNTIF((INDIRECT($B$5&amp;"!H14:H44")),"&gt;0"))),SMALL(IF((INDIRECT($B$5&amp;"!H14:H44"))&gt;0,(INDIRECT($B$5&amp;"!C14:C44"))),ROW(A11)),"")</f>
        <v/>
      </c>
      <c r="B53" s="42" t="str">
        <f t="shared" ca="1" si="3"/>
        <v/>
      </c>
      <c r="C53" s="43" t="str">
        <f t="shared" ca="1" si="4"/>
        <v/>
      </c>
      <c r="D53" s="44" t="str">
        <f t="shared" ca="1" si="5"/>
        <v/>
      </c>
      <c r="E53" s="498"/>
      <c r="F53" s="499"/>
    </row>
    <row r="54" spans="1:6" ht="22.5" customHeight="1">
      <c r="A54" s="47" t="str">
        <f t="array" aca="1" ref="A54" ca="1">IF((ROW(A12)&lt;=(COUNTIF((INDIRECT($B$5&amp;"!H14:H44")),"&gt;0"))),SMALL(IF((INDIRECT($B$5&amp;"!H14:H44"))&gt;0,(INDIRECT($B$5&amp;"!C14:C44"))),ROW(A12)),"")</f>
        <v/>
      </c>
      <c r="B54" s="42" t="str">
        <f t="shared" ca="1" si="3"/>
        <v/>
      </c>
      <c r="C54" s="43" t="str">
        <f t="shared" ca="1" si="4"/>
        <v/>
      </c>
      <c r="D54" s="44" t="str">
        <f t="shared" ca="1" si="5"/>
        <v/>
      </c>
      <c r="E54" s="498"/>
      <c r="F54" s="499"/>
    </row>
    <row r="55" spans="1:6" ht="22.5" customHeight="1">
      <c r="A55" s="47" t="str">
        <f t="array" aca="1" ref="A55" ca="1">IF((ROW(A13)&lt;=(COUNTIF((INDIRECT($B$5&amp;"!H14:H44")),"&gt;0"))),SMALL(IF((INDIRECT($B$5&amp;"!H14:H44"))&gt;0,(INDIRECT($B$5&amp;"!C14:C44"))),ROW(A13)),"")</f>
        <v/>
      </c>
      <c r="B55" s="42" t="str">
        <f t="shared" ca="1" si="3"/>
        <v/>
      </c>
      <c r="C55" s="43" t="str">
        <f t="shared" ca="1" si="4"/>
        <v/>
      </c>
      <c r="D55" s="44" t="str">
        <f t="shared" ca="1" si="5"/>
        <v/>
      </c>
      <c r="E55" s="498"/>
      <c r="F55" s="499"/>
    </row>
    <row r="56" spans="1:6" ht="22.5" customHeight="1">
      <c r="A56" s="47" t="str">
        <f t="array" aca="1" ref="A56" ca="1">IF((ROW(A14)&lt;=(COUNTIF((INDIRECT($B$5&amp;"!H14:H44")),"&gt;0"))),SMALL(IF((INDIRECT($B$5&amp;"!H14:H44"))&gt;0,(INDIRECT($B$5&amp;"!C14:C44"))),ROW(A14)),"")</f>
        <v/>
      </c>
      <c r="B56" s="42" t="str">
        <f t="shared" ca="1" si="3"/>
        <v/>
      </c>
      <c r="C56" s="43" t="str">
        <f t="shared" ca="1" si="4"/>
        <v/>
      </c>
      <c r="D56" s="44" t="str">
        <f t="shared" ca="1" si="5"/>
        <v/>
      </c>
      <c r="E56" s="498"/>
      <c r="F56" s="499"/>
    </row>
    <row r="57" spans="1:6" ht="22.5" customHeight="1">
      <c r="A57" s="47" t="str">
        <f t="array" aca="1" ref="A57" ca="1">IF((ROW(A15)&lt;=(COUNTIF((INDIRECT($B$5&amp;"!H14:H44")),"&gt;0"))),SMALL(IF((INDIRECT($B$5&amp;"!H14:H44"))&gt;0,(INDIRECT($B$5&amp;"!C14:C44"))),ROW(A15)),"")</f>
        <v/>
      </c>
      <c r="B57" s="42" t="str">
        <f t="shared" ca="1" si="3"/>
        <v/>
      </c>
      <c r="C57" s="43" t="str">
        <f t="shared" ca="1" si="4"/>
        <v/>
      </c>
      <c r="D57" s="44" t="str">
        <f t="shared" ca="1" si="5"/>
        <v/>
      </c>
      <c r="E57" s="498"/>
      <c r="F57" s="499"/>
    </row>
    <row r="58" spans="1:6" ht="22.5" customHeight="1">
      <c r="A58" s="47" t="str">
        <f t="array" aca="1" ref="A58" ca="1">IF((ROW(A16)&lt;=(COUNTIF((INDIRECT($B$5&amp;"!H14:H44")),"&gt;0"))),SMALL(IF((INDIRECT($B$5&amp;"!H14:H44"))&gt;0,(INDIRECT($B$5&amp;"!C14:C44"))),ROW(A16)),"")</f>
        <v/>
      </c>
      <c r="B58" s="42" t="str">
        <f t="shared" ca="1" si="3"/>
        <v/>
      </c>
      <c r="C58" s="43" t="str">
        <f t="shared" ca="1" si="4"/>
        <v/>
      </c>
      <c r="D58" s="44" t="str">
        <f t="shared" ca="1" si="5"/>
        <v/>
      </c>
      <c r="E58" s="498"/>
      <c r="F58" s="499"/>
    </row>
    <row r="59" spans="1:6" ht="22.5" customHeight="1">
      <c r="A59" s="47" t="str">
        <f t="array" aca="1" ref="A59" ca="1">IF((ROW(A17)&lt;=(COUNTIF((INDIRECT($B$5&amp;"!H14:H44")),"&gt;0"))),SMALL(IF((INDIRECT($B$5&amp;"!H14:H44"))&gt;0,(INDIRECT($B$5&amp;"!C14:C44"))),ROW(A17)),"")</f>
        <v/>
      </c>
      <c r="B59" s="42" t="str">
        <f t="shared" ca="1" si="3"/>
        <v/>
      </c>
      <c r="C59" s="43" t="str">
        <f t="shared" ca="1" si="4"/>
        <v/>
      </c>
      <c r="D59" s="44" t="str">
        <f t="shared" ca="1" si="5"/>
        <v/>
      </c>
      <c r="E59" s="498"/>
      <c r="F59" s="499"/>
    </row>
    <row r="60" spans="1:6" ht="22.5" customHeight="1">
      <c r="A60" s="47" t="str">
        <f t="array" aca="1" ref="A60" ca="1">IF((ROW(A18)&lt;=(COUNTIF((INDIRECT($B$5&amp;"!H14:H44")),"&gt;0"))),SMALL(IF((INDIRECT($B$5&amp;"!H14:H44"))&gt;0,(INDIRECT($B$5&amp;"!C14:C44"))),ROW(A18)),"")</f>
        <v/>
      </c>
      <c r="B60" s="42" t="str">
        <f t="shared" ca="1" si="3"/>
        <v/>
      </c>
      <c r="C60" s="43" t="str">
        <f t="shared" ca="1" si="4"/>
        <v/>
      </c>
      <c r="D60" s="44" t="str">
        <f t="shared" ca="1" si="5"/>
        <v/>
      </c>
      <c r="E60" s="498"/>
      <c r="F60" s="499"/>
    </row>
    <row r="61" spans="1:6" ht="22.5" customHeight="1">
      <c r="A61" s="47" t="str">
        <f t="array" aca="1" ref="A61" ca="1">IF((ROW(A19)&lt;=(COUNTIF((INDIRECT($B$5&amp;"!H14:H44")),"&gt;0"))),SMALL(IF((INDIRECT($B$5&amp;"!H14:H44"))&gt;0,(INDIRECT($B$5&amp;"!C14:C44"))),ROW(A19)),"")</f>
        <v/>
      </c>
      <c r="B61" s="42" t="str">
        <f t="shared" ca="1" si="3"/>
        <v/>
      </c>
      <c r="C61" s="43" t="str">
        <f t="shared" ca="1" si="4"/>
        <v/>
      </c>
      <c r="D61" s="44" t="str">
        <f t="shared" ca="1" si="5"/>
        <v/>
      </c>
      <c r="E61" s="498"/>
      <c r="F61" s="499"/>
    </row>
    <row r="62" spans="1:6" ht="22.5" customHeight="1">
      <c r="A62" s="47" t="str">
        <f t="array" aca="1" ref="A62" ca="1">IF((ROW(A20)&lt;=(COUNTIF((INDIRECT($B$5&amp;"!H14:H44")),"&gt;0"))),SMALL(IF((INDIRECT($B$5&amp;"!H14:H44"))&gt;0,(INDIRECT($B$5&amp;"!C14:C44"))),ROW(A20)),"")</f>
        <v/>
      </c>
      <c r="B62" s="42" t="str">
        <f t="shared" ca="1" si="3"/>
        <v/>
      </c>
      <c r="C62" s="43" t="str">
        <f t="shared" ca="1" si="4"/>
        <v/>
      </c>
      <c r="D62" s="44" t="str">
        <f t="shared" ca="1" si="5"/>
        <v/>
      </c>
      <c r="E62" s="498"/>
      <c r="F62" s="499"/>
    </row>
    <row r="63" spans="1:6" ht="22.5" customHeight="1">
      <c r="A63" s="47" t="str">
        <f t="array" aca="1" ref="A63" ca="1">IF((ROW(A21)&lt;=(COUNTIF((INDIRECT($B$5&amp;"!H14:H44")),"&gt;0"))),SMALL(IF((INDIRECT($B$5&amp;"!H14:H44"))&gt;0,(INDIRECT($B$5&amp;"!C14:C44"))),ROW(A21)),"")</f>
        <v/>
      </c>
      <c r="B63" s="42" t="str">
        <f t="shared" ca="1" si="3"/>
        <v/>
      </c>
      <c r="C63" s="43" t="str">
        <f t="shared" ca="1" si="4"/>
        <v/>
      </c>
      <c r="D63" s="44" t="str">
        <f t="shared" ca="1" si="5"/>
        <v/>
      </c>
      <c r="E63" s="498"/>
      <c r="F63" s="499"/>
    </row>
    <row r="64" spans="1:6" ht="22.5" customHeight="1">
      <c r="A64" s="47" t="str">
        <f t="array" aca="1" ref="A64" ca="1">IF((ROW(A22)&lt;=(COUNTIF((INDIRECT($B$5&amp;"!H14:H44")),"&gt;0"))),SMALL(IF((INDIRECT($B$5&amp;"!H14:H44"))&gt;0,(INDIRECT($B$5&amp;"!C14:C44"))),ROW(A22)),"")</f>
        <v/>
      </c>
      <c r="B64" s="42" t="str">
        <f t="shared" ca="1" si="3"/>
        <v/>
      </c>
      <c r="C64" s="43" t="str">
        <f t="shared" ca="1" si="4"/>
        <v/>
      </c>
      <c r="D64" s="44" t="str">
        <f t="shared" ca="1" si="5"/>
        <v/>
      </c>
      <c r="E64" s="498"/>
      <c r="F64" s="499"/>
    </row>
    <row r="65" spans="1:6" ht="22.5" customHeight="1">
      <c r="A65" s="47" t="str">
        <f t="array" aca="1" ref="A65" ca="1">IF((ROW(A23)&lt;=(COUNTIF((INDIRECT($B$5&amp;"!H14:H44")),"&gt;0"))),SMALL(IF((INDIRECT($B$5&amp;"!H14:H44"))&gt;0,(INDIRECT($B$5&amp;"!C14:C44"))),ROW(A23)),"")</f>
        <v/>
      </c>
      <c r="B65" s="42" t="str">
        <f t="shared" ca="1" si="3"/>
        <v/>
      </c>
      <c r="C65" s="43" t="str">
        <f t="shared" ca="1" si="4"/>
        <v/>
      </c>
      <c r="D65" s="44" t="str">
        <f t="shared" ca="1" si="5"/>
        <v/>
      </c>
      <c r="E65" s="498"/>
      <c r="F65" s="499"/>
    </row>
    <row r="66" spans="1:6" ht="16">
      <c r="A66" s="500" t="s">
        <v>55</v>
      </c>
      <c r="B66" s="501"/>
      <c r="C66" s="502"/>
      <c r="D66" s="38">
        <f ca="1">SUM($D$42:$D$65)</f>
        <v>0</v>
      </c>
      <c r="E66" s="6"/>
    </row>
    <row r="67" spans="1:6" ht="19">
      <c r="A67" s="13"/>
      <c r="B67" s="13"/>
      <c r="C67" s="13"/>
      <c r="D67" s="35"/>
      <c r="E67" s="7"/>
    </row>
    <row r="68" spans="1:6" ht="19">
      <c r="A68" s="13"/>
      <c r="B68" s="13"/>
      <c r="C68" s="13"/>
      <c r="D68" s="35"/>
      <c r="E68" s="7"/>
    </row>
    <row r="69" spans="1:6" ht="19">
      <c r="A69" s="13"/>
      <c r="B69" s="13"/>
      <c r="C69" s="13"/>
      <c r="D69" s="35"/>
      <c r="E69" s="7"/>
    </row>
    <row r="70" spans="1:6" ht="16">
      <c r="A70" s="13"/>
      <c r="B70" s="13"/>
      <c r="C70" s="13"/>
      <c r="D70" s="14"/>
      <c r="E70" s="7"/>
    </row>
    <row r="71" spans="1:6" ht="16">
      <c r="A71" s="15" t="s">
        <v>61</v>
      </c>
      <c r="B71" s="16"/>
      <c r="C71" s="16"/>
      <c r="D71" s="16"/>
      <c r="E71" s="15" t="s">
        <v>167</v>
      </c>
    </row>
    <row r="72" spans="1:6" ht="16">
      <c r="A72" s="15"/>
      <c r="B72" s="16"/>
      <c r="C72" s="16"/>
      <c r="D72" s="16"/>
      <c r="E72" s="15"/>
    </row>
    <row r="73" spans="1:6" ht="16">
      <c r="A73" s="22" t="s">
        <v>64</v>
      </c>
      <c r="B73" s="503"/>
      <c r="C73" s="503"/>
      <c r="D73" s="16"/>
      <c r="E73" s="17" t="s">
        <v>63</v>
      </c>
      <c r="F73" s="48"/>
    </row>
  </sheetData>
  <sheetProtection algorithmName="SHA-512" hashValue="mx3y5JPGawEW4mSG672JDFbeSJMmJ9bXXMCEGPlMOyw/2SAfpNMNYrJxmog6fRffXRT7aXsbvaozkwP6dGuaNQ==" saltValue="MNX3jvMyNMOKsb/rKf1EFA==" spinCount="100000" sheet="1" selectLockedCells="1"/>
  <mergeCells count="60">
    <mergeCell ref="A6:E6"/>
    <mergeCell ref="A8:E8"/>
    <mergeCell ref="C7:F7"/>
    <mergeCell ref="C10:F10"/>
    <mergeCell ref="A2:F2"/>
    <mergeCell ref="B3:D3"/>
    <mergeCell ref="B4:F4"/>
    <mergeCell ref="E15:F15"/>
    <mergeCell ref="E16:F16"/>
    <mergeCell ref="B12:C12"/>
    <mergeCell ref="E12:F13"/>
    <mergeCell ref="E14:F14"/>
    <mergeCell ref="E21:F21"/>
    <mergeCell ref="E22:F22"/>
    <mergeCell ref="E19:F19"/>
    <mergeCell ref="E20:F20"/>
    <mergeCell ref="E17:F17"/>
    <mergeCell ref="E18:F18"/>
    <mergeCell ref="E27:F27"/>
    <mergeCell ref="E28:F28"/>
    <mergeCell ref="E25:F25"/>
    <mergeCell ref="E26:F26"/>
    <mergeCell ref="E23:F23"/>
    <mergeCell ref="E24:F24"/>
    <mergeCell ref="E33:F33"/>
    <mergeCell ref="E34:F34"/>
    <mergeCell ref="E31:F31"/>
    <mergeCell ref="E32:F32"/>
    <mergeCell ref="E29:F29"/>
    <mergeCell ref="E30:F30"/>
    <mergeCell ref="A42:C42"/>
    <mergeCell ref="E42:F42"/>
    <mergeCell ref="E43:F43"/>
    <mergeCell ref="E44:F44"/>
    <mergeCell ref="A35:C35"/>
    <mergeCell ref="B40:C40"/>
    <mergeCell ref="E40:F41"/>
    <mergeCell ref="E49:F49"/>
    <mergeCell ref="E50:F50"/>
    <mergeCell ref="E47:F47"/>
    <mergeCell ref="E48:F48"/>
    <mergeCell ref="E45:F45"/>
    <mergeCell ref="E46:F46"/>
    <mergeCell ref="E55:F55"/>
    <mergeCell ref="E56:F56"/>
    <mergeCell ref="E53:F53"/>
    <mergeCell ref="E54:F54"/>
    <mergeCell ref="E51:F51"/>
    <mergeCell ref="E52:F52"/>
    <mergeCell ref="E61:F61"/>
    <mergeCell ref="E62:F62"/>
    <mergeCell ref="E59:F59"/>
    <mergeCell ref="E60:F60"/>
    <mergeCell ref="E57:F57"/>
    <mergeCell ref="E58:F58"/>
    <mergeCell ref="E65:F65"/>
    <mergeCell ref="A66:C66"/>
    <mergeCell ref="B73:C73"/>
    <mergeCell ref="E63:F63"/>
    <mergeCell ref="E64:F64"/>
  </mergeCells>
  <conditionalFormatting sqref="E14:F34">
    <cfRule type="containsText" dxfId="480" priority="2" operator="containsText" text="Grund fehlt">
      <formula>NOT(ISERROR(SEARCH("Grund fehlt",E14)))</formula>
    </cfRule>
  </conditionalFormatting>
  <conditionalFormatting sqref="E43:F65">
    <cfRule type="containsText" dxfId="479" priority="1" operator="containsText" text="Grund fehlt">
      <formula>NOT(ISERROR(SEARCH("Grund fehlt",E43)))</formula>
    </cfRule>
  </conditionalFormatting>
  <pageMargins left="0.62992125984251968" right="0.23622047244094491" top="0.74803149606299213" bottom="0.74803149606299213" header="0.31496062992125984" footer="0.31496062992125984"/>
  <pageSetup paperSize="9" orientation="portrait" horizont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locked="0" defaultSize="0" autoFill="0" autoLine="0" autoPict="0">
                <anchor moveWithCells="1">
                  <from>
                    <xdr:col>1</xdr:col>
                    <xdr:colOff>279400</xdr:colOff>
                    <xdr:row>5</xdr:row>
                    <xdr:rowOff>12700</xdr:rowOff>
                  </from>
                  <to>
                    <xdr:col>1</xdr:col>
                    <xdr:colOff>495300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locked="0" defaultSize="0" autoFill="0" autoLine="0" autoPict="0">
                <anchor moveWithCells="1">
                  <from>
                    <xdr:col>1</xdr:col>
                    <xdr:colOff>279400</xdr:colOff>
                    <xdr:row>9</xdr:row>
                    <xdr:rowOff>12700</xdr:rowOff>
                  </from>
                  <to>
                    <xdr:col>1</xdr:col>
                    <xdr:colOff>495300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Datenblatt!$H$100:$H$112</xm:f>
          </x14:formula1>
          <xm:sqref>B5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74"/>
  <sheetViews>
    <sheetView showGridLines="0" showRowColHeaders="0" zoomScaleNormal="100" workbookViewId="0">
      <selection activeCell="C30" sqref="C30"/>
    </sheetView>
  </sheetViews>
  <sheetFormatPr baseColWidth="10" defaultColWidth="11.5" defaultRowHeight="16"/>
  <cols>
    <col min="1" max="1" width="8.83203125" style="143" customWidth="1"/>
    <col min="2" max="2" width="16.83203125" style="143" customWidth="1"/>
    <col min="3" max="6" width="29.5" style="143" customWidth="1"/>
    <col min="7" max="7" width="11" style="143" customWidth="1"/>
    <col min="8" max="8" width="12.5" style="143" customWidth="1"/>
    <col min="9" max="9" width="9.5" style="143" customWidth="1"/>
    <col min="10" max="256" width="11.5" style="143"/>
    <col min="257" max="257" width="10.5" style="143" customWidth="1"/>
    <col min="258" max="258" width="14.5" style="143" customWidth="1"/>
    <col min="259" max="259" width="25.83203125" style="143" customWidth="1"/>
    <col min="260" max="260" width="28.1640625" style="143" customWidth="1"/>
    <col min="261" max="261" width="9.1640625" style="143" customWidth="1"/>
    <col min="262" max="262" width="4.83203125" style="143" customWidth="1"/>
    <col min="263" max="263" width="7.5" style="143" customWidth="1"/>
    <col min="264" max="264" width="9.1640625" style="143" customWidth="1"/>
    <col min="265" max="265" width="9.5" style="143" customWidth="1"/>
    <col min="266" max="512" width="11.5" style="143"/>
    <col min="513" max="513" width="10.5" style="143" customWidth="1"/>
    <col min="514" max="514" width="14.5" style="143" customWidth="1"/>
    <col min="515" max="515" width="25.83203125" style="143" customWidth="1"/>
    <col min="516" max="516" width="28.1640625" style="143" customWidth="1"/>
    <col min="517" max="517" width="9.1640625" style="143" customWidth="1"/>
    <col min="518" max="518" width="4.83203125" style="143" customWidth="1"/>
    <col min="519" max="519" width="7.5" style="143" customWidth="1"/>
    <col min="520" max="520" width="9.1640625" style="143" customWidth="1"/>
    <col min="521" max="521" width="9.5" style="143" customWidth="1"/>
    <col min="522" max="768" width="11.5" style="143"/>
    <col min="769" max="769" width="10.5" style="143" customWidth="1"/>
    <col min="770" max="770" width="14.5" style="143" customWidth="1"/>
    <col min="771" max="771" width="25.83203125" style="143" customWidth="1"/>
    <col min="772" max="772" width="28.1640625" style="143" customWidth="1"/>
    <col min="773" max="773" width="9.1640625" style="143" customWidth="1"/>
    <col min="774" max="774" width="4.83203125" style="143" customWidth="1"/>
    <col min="775" max="775" width="7.5" style="143" customWidth="1"/>
    <col min="776" max="776" width="9.1640625" style="143" customWidth="1"/>
    <col min="777" max="777" width="9.5" style="143" customWidth="1"/>
    <col min="778" max="1024" width="11.5" style="143"/>
    <col min="1025" max="1025" width="10.5" style="143" customWidth="1"/>
    <col min="1026" max="1026" width="14.5" style="143" customWidth="1"/>
    <col min="1027" max="1027" width="25.83203125" style="143" customWidth="1"/>
    <col min="1028" max="1028" width="28.1640625" style="143" customWidth="1"/>
    <col min="1029" max="1029" width="9.1640625" style="143" customWidth="1"/>
    <col min="1030" max="1030" width="4.83203125" style="143" customWidth="1"/>
    <col min="1031" max="1031" width="7.5" style="143" customWidth="1"/>
    <col min="1032" max="1032" width="9.1640625" style="143" customWidth="1"/>
    <col min="1033" max="1033" width="9.5" style="143" customWidth="1"/>
    <col min="1034" max="1280" width="11.5" style="143"/>
    <col min="1281" max="1281" width="10.5" style="143" customWidth="1"/>
    <col min="1282" max="1282" width="14.5" style="143" customWidth="1"/>
    <col min="1283" max="1283" width="25.83203125" style="143" customWidth="1"/>
    <col min="1284" max="1284" width="28.1640625" style="143" customWidth="1"/>
    <col min="1285" max="1285" width="9.1640625" style="143" customWidth="1"/>
    <col min="1286" max="1286" width="4.83203125" style="143" customWidth="1"/>
    <col min="1287" max="1287" width="7.5" style="143" customWidth="1"/>
    <col min="1288" max="1288" width="9.1640625" style="143" customWidth="1"/>
    <col min="1289" max="1289" width="9.5" style="143" customWidth="1"/>
    <col min="1290" max="1536" width="11.5" style="143"/>
    <col min="1537" max="1537" width="10.5" style="143" customWidth="1"/>
    <col min="1538" max="1538" width="14.5" style="143" customWidth="1"/>
    <col min="1539" max="1539" width="25.83203125" style="143" customWidth="1"/>
    <col min="1540" max="1540" width="28.1640625" style="143" customWidth="1"/>
    <col min="1541" max="1541" width="9.1640625" style="143" customWidth="1"/>
    <col min="1542" max="1542" width="4.83203125" style="143" customWidth="1"/>
    <col min="1543" max="1543" width="7.5" style="143" customWidth="1"/>
    <col min="1544" max="1544" width="9.1640625" style="143" customWidth="1"/>
    <col min="1545" max="1545" width="9.5" style="143" customWidth="1"/>
    <col min="1546" max="1792" width="11.5" style="143"/>
    <col min="1793" max="1793" width="10.5" style="143" customWidth="1"/>
    <col min="1794" max="1794" width="14.5" style="143" customWidth="1"/>
    <col min="1795" max="1795" width="25.83203125" style="143" customWidth="1"/>
    <col min="1796" max="1796" width="28.1640625" style="143" customWidth="1"/>
    <col min="1797" max="1797" width="9.1640625" style="143" customWidth="1"/>
    <col min="1798" max="1798" width="4.83203125" style="143" customWidth="1"/>
    <col min="1799" max="1799" width="7.5" style="143" customWidth="1"/>
    <col min="1800" max="1800" width="9.1640625" style="143" customWidth="1"/>
    <col min="1801" max="1801" width="9.5" style="143" customWidth="1"/>
    <col min="1802" max="2048" width="11.5" style="143"/>
    <col min="2049" max="2049" width="10.5" style="143" customWidth="1"/>
    <col min="2050" max="2050" width="14.5" style="143" customWidth="1"/>
    <col min="2051" max="2051" width="25.83203125" style="143" customWidth="1"/>
    <col min="2052" max="2052" width="28.1640625" style="143" customWidth="1"/>
    <col min="2053" max="2053" width="9.1640625" style="143" customWidth="1"/>
    <col min="2054" max="2054" width="4.83203125" style="143" customWidth="1"/>
    <col min="2055" max="2055" width="7.5" style="143" customWidth="1"/>
    <col min="2056" max="2056" width="9.1640625" style="143" customWidth="1"/>
    <col min="2057" max="2057" width="9.5" style="143" customWidth="1"/>
    <col min="2058" max="2304" width="11.5" style="143"/>
    <col min="2305" max="2305" width="10.5" style="143" customWidth="1"/>
    <col min="2306" max="2306" width="14.5" style="143" customWidth="1"/>
    <col min="2307" max="2307" width="25.83203125" style="143" customWidth="1"/>
    <col min="2308" max="2308" width="28.1640625" style="143" customWidth="1"/>
    <col min="2309" max="2309" width="9.1640625" style="143" customWidth="1"/>
    <col min="2310" max="2310" width="4.83203125" style="143" customWidth="1"/>
    <col min="2311" max="2311" width="7.5" style="143" customWidth="1"/>
    <col min="2312" max="2312" width="9.1640625" style="143" customWidth="1"/>
    <col min="2313" max="2313" width="9.5" style="143" customWidth="1"/>
    <col min="2314" max="2560" width="11.5" style="143"/>
    <col min="2561" max="2561" width="10.5" style="143" customWidth="1"/>
    <col min="2562" max="2562" width="14.5" style="143" customWidth="1"/>
    <col min="2563" max="2563" width="25.83203125" style="143" customWidth="1"/>
    <col min="2564" max="2564" width="28.1640625" style="143" customWidth="1"/>
    <col min="2565" max="2565" width="9.1640625" style="143" customWidth="1"/>
    <col min="2566" max="2566" width="4.83203125" style="143" customWidth="1"/>
    <col min="2567" max="2567" width="7.5" style="143" customWidth="1"/>
    <col min="2568" max="2568" width="9.1640625" style="143" customWidth="1"/>
    <col min="2569" max="2569" width="9.5" style="143" customWidth="1"/>
    <col min="2570" max="2816" width="11.5" style="143"/>
    <col min="2817" max="2817" width="10.5" style="143" customWidth="1"/>
    <col min="2818" max="2818" width="14.5" style="143" customWidth="1"/>
    <col min="2819" max="2819" width="25.83203125" style="143" customWidth="1"/>
    <col min="2820" max="2820" width="28.1640625" style="143" customWidth="1"/>
    <col min="2821" max="2821" width="9.1640625" style="143" customWidth="1"/>
    <col min="2822" max="2822" width="4.83203125" style="143" customWidth="1"/>
    <col min="2823" max="2823" width="7.5" style="143" customWidth="1"/>
    <col min="2824" max="2824" width="9.1640625" style="143" customWidth="1"/>
    <col min="2825" max="2825" width="9.5" style="143" customWidth="1"/>
    <col min="2826" max="3072" width="11.5" style="143"/>
    <col min="3073" max="3073" width="10.5" style="143" customWidth="1"/>
    <col min="3074" max="3074" width="14.5" style="143" customWidth="1"/>
    <col min="3075" max="3075" width="25.83203125" style="143" customWidth="1"/>
    <col min="3076" max="3076" width="28.1640625" style="143" customWidth="1"/>
    <col min="3077" max="3077" width="9.1640625" style="143" customWidth="1"/>
    <col min="3078" max="3078" width="4.83203125" style="143" customWidth="1"/>
    <col min="3079" max="3079" width="7.5" style="143" customWidth="1"/>
    <col min="3080" max="3080" width="9.1640625" style="143" customWidth="1"/>
    <col min="3081" max="3081" width="9.5" style="143" customWidth="1"/>
    <col min="3082" max="3328" width="11.5" style="143"/>
    <col min="3329" max="3329" width="10.5" style="143" customWidth="1"/>
    <col min="3330" max="3330" width="14.5" style="143" customWidth="1"/>
    <col min="3331" max="3331" width="25.83203125" style="143" customWidth="1"/>
    <col min="3332" max="3332" width="28.1640625" style="143" customWidth="1"/>
    <col min="3333" max="3333" width="9.1640625" style="143" customWidth="1"/>
    <col min="3334" max="3334" width="4.83203125" style="143" customWidth="1"/>
    <col min="3335" max="3335" width="7.5" style="143" customWidth="1"/>
    <col min="3336" max="3336" width="9.1640625" style="143" customWidth="1"/>
    <col min="3337" max="3337" width="9.5" style="143" customWidth="1"/>
    <col min="3338" max="3584" width="11.5" style="143"/>
    <col min="3585" max="3585" width="10.5" style="143" customWidth="1"/>
    <col min="3586" max="3586" width="14.5" style="143" customWidth="1"/>
    <col min="3587" max="3587" width="25.83203125" style="143" customWidth="1"/>
    <col min="3588" max="3588" width="28.1640625" style="143" customWidth="1"/>
    <col min="3589" max="3589" width="9.1640625" style="143" customWidth="1"/>
    <col min="3590" max="3590" width="4.83203125" style="143" customWidth="1"/>
    <col min="3591" max="3591" width="7.5" style="143" customWidth="1"/>
    <col min="3592" max="3592" width="9.1640625" style="143" customWidth="1"/>
    <col min="3593" max="3593" width="9.5" style="143" customWidth="1"/>
    <col min="3594" max="3840" width="11.5" style="143"/>
    <col min="3841" max="3841" width="10.5" style="143" customWidth="1"/>
    <col min="3842" max="3842" width="14.5" style="143" customWidth="1"/>
    <col min="3843" max="3843" width="25.83203125" style="143" customWidth="1"/>
    <col min="3844" max="3844" width="28.1640625" style="143" customWidth="1"/>
    <col min="3845" max="3845" width="9.1640625" style="143" customWidth="1"/>
    <col min="3846" max="3846" width="4.83203125" style="143" customWidth="1"/>
    <col min="3847" max="3847" width="7.5" style="143" customWidth="1"/>
    <col min="3848" max="3848" width="9.1640625" style="143" customWidth="1"/>
    <col min="3849" max="3849" width="9.5" style="143" customWidth="1"/>
    <col min="3850" max="4096" width="11.5" style="143"/>
    <col min="4097" max="4097" width="10.5" style="143" customWidth="1"/>
    <col min="4098" max="4098" width="14.5" style="143" customWidth="1"/>
    <col min="4099" max="4099" width="25.83203125" style="143" customWidth="1"/>
    <col min="4100" max="4100" width="28.1640625" style="143" customWidth="1"/>
    <col min="4101" max="4101" width="9.1640625" style="143" customWidth="1"/>
    <col min="4102" max="4102" width="4.83203125" style="143" customWidth="1"/>
    <col min="4103" max="4103" width="7.5" style="143" customWidth="1"/>
    <col min="4104" max="4104" width="9.1640625" style="143" customWidth="1"/>
    <col min="4105" max="4105" width="9.5" style="143" customWidth="1"/>
    <col min="4106" max="4352" width="11.5" style="143"/>
    <col min="4353" max="4353" width="10.5" style="143" customWidth="1"/>
    <col min="4354" max="4354" width="14.5" style="143" customWidth="1"/>
    <col min="4355" max="4355" width="25.83203125" style="143" customWidth="1"/>
    <col min="4356" max="4356" width="28.1640625" style="143" customWidth="1"/>
    <col min="4357" max="4357" width="9.1640625" style="143" customWidth="1"/>
    <col min="4358" max="4358" width="4.83203125" style="143" customWidth="1"/>
    <col min="4359" max="4359" width="7.5" style="143" customWidth="1"/>
    <col min="4360" max="4360" width="9.1640625" style="143" customWidth="1"/>
    <col min="4361" max="4361" width="9.5" style="143" customWidth="1"/>
    <col min="4362" max="4608" width="11.5" style="143"/>
    <col min="4609" max="4609" width="10.5" style="143" customWidth="1"/>
    <col min="4610" max="4610" width="14.5" style="143" customWidth="1"/>
    <col min="4611" max="4611" width="25.83203125" style="143" customWidth="1"/>
    <col min="4612" max="4612" width="28.1640625" style="143" customWidth="1"/>
    <col min="4613" max="4613" width="9.1640625" style="143" customWidth="1"/>
    <col min="4614" max="4614" width="4.83203125" style="143" customWidth="1"/>
    <col min="4615" max="4615" width="7.5" style="143" customWidth="1"/>
    <col min="4616" max="4616" width="9.1640625" style="143" customWidth="1"/>
    <col min="4617" max="4617" width="9.5" style="143" customWidth="1"/>
    <col min="4618" max="4864" width="11.5" style="143"/>
    <col min="4865" max="4865" width="10.5" style="143" customWidth="1"/>
    <col min="4866" max="4866" width="14.5" style="143" customWidth="1"/>
    <col min="4867" max="4867" width="25.83203125" style="143" customWidth="1"/>
    <col min="4868" max="4868" width="28.1640625" style="143" customWidth="1"/>
    <col min="4869" max="4869" width="9.1640625" style="143" customWidth="1"/>
    <col min="4870" max="4870" width="4.83203125" style="143" customWidth="1"/>
    <col min="4871" max="4871" width="7.5" style="143" customWidth="1"/>
    <col min="4872" max="4872" width="9.1640625" style="143" customWidth="1"/>
    <col min="4873" max="4873" width="9.5" style="143" customWidth="1"/>
    <col min="4874" max="5120" width="11.5" style="143"/>
    <col min="5121" max="5121" width="10.5" style="143" customWidth="1"/>
    <col min="5122" max="5122" width="14.5" style="143" customWidth="1"/>
    <col min="5123" max="5123" width="25.83203125" style="143" customWidth="1"/>
    <col min="5124" max="5124" width="28.1640625" style="143" customWidth="1"/>
    <col min="5125" max="5125" width="9.1640625" style="143" customWidth="1"/>
    <col min="5126" max="5126" width="4.83203125" style="143" customWidth="1"/>
    <col min="5127" max="5127" width="7.5" style="143" customWidth="1"/>
    <col min="5128" max="5128" width="9.1640625" style="143" customWidth="1"/>
    <col min="5129" max="5129" width="9.5" style="143" customWidth="1"/>
    <col min="5130" max="5376" width="11.5" style="143"/>
    <col min="5377" max="5377" width="10.5" style="143" customWidth="1"/>
    <col min="5378" max="5378" width="14.5" style="143" customWidth="1"/>
    <col min="5379" max="5379" width="25.83203125" style="143" customWidth="1"/>
    <col min="5380" max="5380" width="28.1640625" style="143" customWidth="1"/>
    <col min="5381" max="5381" width="9.1640625" style="143" customWidth="1"/>
    <col min="5382" max="5382" width="4.83203125" style="143" customWidth="1"/>
    <col min="5383" max="5383" width="7.5" style="143" customWidth="1"/>
    <col min="5384" max="5384" width="9.1640625" style="143" customWidth="1"/>
    <col min="5385" max="5385" width="9.5" style="143" customWidth="1"/>
    <col min="5386" max="5632" width="11.5" style="143"/>
    <col min="5633" max="5633" width="10.5" style="143" customWidth="1"/>
    <col min="5634" max="5634" width="14.5" style="143" customWidth="1"/>
    <col min="5635" max="5635" width="25.83203125" style="143" customWidth="1"/>
    <col min="5636" max="5636" width="28.1640625" style="143" customWidth="1"/>
    <col min="5637" max="5637" width="9.1640625" style="143" customWidth="1"/>
    <col min="5638" max="5638" width="4.83203125" style="143" customWidth="1"/>
    <col min="5639" max="5639" width="7.5" style="143" customWidth="1"/>
    <col min="5640" max="5640" width="9.1640625" style="143" customWidth="1"/>
    <col min="5641" max="5641" width="9.5" style="143" customWidth="1"/>
    <col min="5642" max="5888" width="11.5" style="143"/>
    <col min="5889" max="5889" width="10.5" style="143" customWidth="1"/>
    <col min="5890" max="5890" width="14.5" style="143" customWidth="1"/>
    <col min="5891" max="5891" width="25.83203125" style="143" customWidth="1"/>
    <col min="5892" max="5892" width="28.1640625" style="143" customWidth="1"/>
    <col min="5893" max="5893" width="9.1640625" style="143" customWidth="1"/>
    <col min="5894" max="5894" width="4.83203125" style="143" customWidth="1"/>
    <col min="5895" max="5895" width="7.5" style="143" customWidth="1"/>
    <col min="5896" max="5896" width="9.1640625" style="143" customWidth="1"/>
    <col min="5897" max="5897" width="9.5" style="143" customWidth="1"/>
    <col min="5898" max="6144" width="11.5" style="143"/>
    <col min="6145" max="6145" width="10.5" style="143" customWidth="1"/>
    <col min="6146" max="6146" width="14.5" style="143" customWidth="1"/>
    <col min="6147" max="6147" width="25.83203125" style="143" customWidth="1"/>
    <col min="6148" max="6148" width="28.1640625" style="143" customWidth="1"/>
    <col min="6149" max="6149" width="9.1640625" style="143" customWidth="1"/>
    <col min="6150" max="6150" width="4.83203125" style="143" customWidth="1"/>
    <col min="6151" max="6151" width="7.5" style="143" customWidth="1"/>
    <col min="6152" max="6152" width="9.1640625" style="143" customWidth="1"/>
    <col min="6153" max="6153" width="9.5" style="143" customWidth="1"/>
    <col min="6154" max="6400" width="11.5" style="143"/>
    <col min="6401" max="6401" width="10.5" style="143" customWidth="1"/>
    <col min="6402" max="6402" width="14.5" style="143" customWidth="1"/>
    <col min="6403" max="6403" width="25.83203125" style="143" customWidth="1"/>
    <col min="6404" max="6404" width="28.1640625" style="143" customWidth="1"/>
    <col min="6405" max="6405" width="9.1640625" style="143" customWidth="1"/>
    <col min="6406" max="6406" width="4.83203125" style="143" customWidth="1"/>
    <col min="6407" max="6407" width="7.5" style="143" customWidth="1"/>
    <col min="6408" max="6408" width="9.1640625" style="143" customWidth="1"/>
    <col min="6409" max="6409" width="9.5" style="143" customWidth="1"/>
    <col min="6410" max="6656" width="11.5" style="143"/>
    <col min="6657" max="6657" width="10.5" style="143" customWidth="1"/>
    <col min="6658" max="6658" width="14.5" style="143" customWidth="1"/>
    <col min="6659" max="6659" width="25.83203125" style="143" customWidth="1"/>
    <col min="6660" max="6660" width="28.1640625" style="143" customWidth="1"/>
    <col min="6661" max="6661" width="9.1640625" style="143" customWidth="1"/>
    <col min="6662" max="6662" width="4.83203125" style="143" customWidth="1"/>
    <col min="6663" max="6663" width="7.5" style="143" customWidth="1"/>
    <col min="6664" max="6664" width="9.1640625" style="143" customWidth="1"/>
    <col min="6665" max="6665" width="9.5" style="143" customWidth="1"/>
    <col min="6666" max="6912" width="11.5" style="143"/>
    <col min="6913" max="6913" width="10.5" style="143" customWidth="1"/>
    <col min="6914" max="6914" width="14.5" style="143" customWidth="1"/>
    <col min="6915" max="6915" width="25.83203125" style="143" customWidth="1"/>
    <col min="6916" max="6916" width="28.1640625" style="143" customWidth="1"/>
    <col min="6917" max="6917" width="9.1640625" style="143" customWidth="1"/>
    <col min="6918" max="6918" width="4.83203125" style="143" customWidth="1"/>
    <col min="6919" max="6919" width="7.5" style="143" customWidth="1"/>
    <col min="6920" max="6920" width="9.1640625" style="143" customWidth="1"/>
    <col min="6921" max="6921" width="9.5" style="143" customWidth="1"/>
    <col min="6922" max="7168" width="11.5" style="143"/>
    <col min="7169" max="7169" width="10.5" style="143" customWidth="1"/>
    <col min="7170" max="7170" width="14.5" style="143" customWidth="1"/>
    <col min="7171" max="7171" width="25.83203125" style="143" customWidth="1"/>
    <col min="7172" max="7172" width="28.1640625" style="143" customWidth="1"/>
    <col min="7173" max="7173" width="9.1640625" style="143" customWidth="1"/>
    <col min="7174" max="7174" width="4.83203125" style="143" customWidth="1"/>
    <col min="7175" max="7175" width="7.5" style="143" customWidth="1"/>
    <col min="7176" max="7176" width="9.1640625" style="143" customWidth="1"/>
    <col min="7177" max="7177" width="9.5" style="143" customWidth="1"/>
    <col min="7178" max="7424" width="11.5" style="143"/>
    <col min="7425" max="7425" width="10.5" style="143" customWidth="1"/>
    <col min="7426" max="7426" width="14.5" style="143" customWidth="1"/>
    <col min="7427" max="7427" width="25.83203125" style="143" customWidth="1"/>
    <col min="7428" max="7428" width="28.1640625" style="143" customWidth="1"/>
    <col min="7429" max="7429" width="9.1640625" style="143" customWidth="1"/>
    <col min="7430" max="7430" width="4.83203125" style="143" customWidth="1"/>
    <col min="7431" max="7431" width="7.5" style="143" customWidth="1"/>
    <col min="7432" max="7432" width="9.1640625" style="143" customWidth="1"/>
    <col min="7433" max="7433" width="9.5" style="143" customWidth="1"/>
    <col min="7434" max="7680" width="11.5" style="143"/>
    <col min="7681" max="7681" width="10.5" style="143" customWidth="1"/>
    <col min="7682" max="7682" width="14.5" style="143" customWidth="1"/>
    <col min="7683" max="7683" width="25.83203125" style="143" customWidth="1"/>
    <col min="7684" max="7684" width="28.1640625" style="143" customWidth="1"/>
    <col min="7685" max="7685" width="9.1640625" style="143" customWidth="1"/>
    <col min="7686" max="7686" width="4.83203125" style="143" customWidth="1"/>
    <col min="7687" max="7687" width="7.5" style="143" customWidth="1"/>
    <col min="7688" max="7688" width="9.1640625" style="143" customWidth="1"/>
    <col min="7689" max="7689" width="9.5" style="143" customWidth="1"/>
    <col min="7690" max="7936" width="11.5" style="143"/>
    <col min="7937" max="7937" width="10.5" style="143" customWidth="1"/>
    <col min="7938" max="7938" width="14.5" style="143" customWidth="1"/>
    <col min="7939" max="7939" width="25.83203125" style="143" customWidth="1"/>
    <col min="7940" max="7940" width="28.1640625" style="143" customWidth="1"/>
    <col min="7941" max="7941" width="9.1640625" style="143" customWidth="1"/>
    <col min="7942" max="7942" width="4.83203125" style="143" customWidth="1"/>
    <col min="7943" max="7943" width="7.5" style="143" customWidth="1"/>
    <col min="7944" max="7944" width="9.1640625" style="143" customWidth="1"/>
    <col min="7945" max="7945" width="9.5" style="143" customWidth="1"/>
    <col min="7946" max="8192" width="11.5" style="143"/>
    <col min="8193" max="8193" width="10.5" style="143" customWidth="1"/>
    <col min="8194" max="8194" width="14.5" style="143" customWidth="1"/>
    <col min="8195" max="8195" width="25.83203125" style="143" customWidth="1"/>
    <col min="8196" max="8196" width="28.1640625" style="143" customWidth="1"/>
    <col min="8197" max="8197" width="9.1640625" style="143" customWidth="1"/>
    <col min="8198" max="8198" width="4.83203125" style="143" customWidth="1"/>
    <col min="8199" max="8199" width="7.5" style="143" customWidth="1"/>
    <col min="8200" max="8200" width="9.1640625" style="143" customWidth="1"/>
    <col min="8201" max="8201" width="9.5" style="143" customWidth="1"/>
    <col min="8202" max="8448" width="11.5" style="143"/>
    <col min="8449" max="8449" width="10.5" style="143" customWidth="1"/>
    <col min="8450" max="8450" width="14.5" style="143" customWidth="1"/>
    <col min="8451" max="8451" width="25.83203125" style="143" customWidth="1"/>
    <col min="8452" max="8452" width="28.1640625" style="143" customWidth="1"/>
    <col min="8453" max="8453" width="9.1640625" style="143" customWidth="1"/>
    <col min="8454" max="8454" width="4.83203125" style="143" customWidth="1"/>
    <col min="8455" max="8455" width="7.5" style="143" customWidth="1"/>
    <col min="8456" max="8456" width="9.1640625" style="143" customWidth="1"/>
    <col min="8457" max="8457" width="9.5" style="143" customWidth="1"/>
    <col min="8458" max="8704" width="11.5" style="143"/>
    <col min="8705" max="8705" width="10.5" style="143" customWidth="1"/>
    <col min="8706" max="8706" width="14.5" style="143" customWidth="1"/>
    <col min="8707" max="8707" width="25.83203125" style="143" customWidth="1"/>
    <col min="8708" max="8708" width="28.1640625" style="143" customWidth="1"/>
    <col min="8709" max="8709" width="9.1640625" style="143" customWidth="1"/>
    <col min="8710" max="8710" width="4.83203125" style="143" customWidth="1"/>
    <col min="8711" max="8711" width="7.5" style="143" customWidth="1"/>
    <col min="8712" max="8712" width="9.1640625" style="143" customWidth="1"/>
    <col min="8713" max="8713" width="9.5" style="143" customWidth="1"/>
    <col min="8714" max="8960" width="11.5" style="143"/>
    <col min="8961" max="8961" width="10.5" style="143" customWidth="1"/>
    <col min="8962" max="8962" width="14.5" style="143" customWidth="1"/>
    <col min="8963" max="8963" width="25.83203125" style="143" customWidth="1"/>
    <col min="8964" max="8964" width="28.1640625" style="143" customWidth="1"/>
    <col min="8965" max="8965" width="9.1640625" style="143" customWidth="1"/>
    <col min="8966" max="8966" width="4.83203125" style="143" customWidth="1"/>
    <col min="8967" max="8967" width="7.5" style="143" customWidth="1"/>
    <col min="8968" max="8968" width="9.1640625" style="143" customWidth="1"/>
    <col min="8969" max="8969" width="9.5" style="143" customWidth="1"/>
    <col min="8970" max="9216" width="11.5" style="143"/>
    <col min="9217" max="9217" width="10.5" style="143" customWidth="1"/>
    <col min="9218" max="9218" width="14.5" style="143" customWidth="1"/>
    <col min="9219" max="9219" width="25.83203125" style="143" customWidth="1"/>
    <col min="9220" max="9220" width="28.1640625" style="143" customWidth="1"/>
    <col min="9221" max="9221" width="9.1640625" style="143" customWidth="1"/>
    <col min="9222" max="9222" width="4.83203125" style="143" customWidth="1"/>
    <col min="9223" max="9223" width="7.5" style="143" customWidth="1"/>
    <col min="9224" max="9224" width="9.1640625" style="143" customWidth="1"/>
    <col min="9225" max="9225" width="9.5" style="143" customWidth="1"/>
    <col min="9226" max="9472" width="11.5" style="143"/>
    <col min="9473" max="9473" width="10.5" style="143" customWidth="1"/>
    <col min="9474" max="9474" width="14.5" style="143" customWidth="1"/>
    <col min="9475" max="9475" width="25.83203125" style="143" customWidth="1"/>
    <col min="9476" max="9476" width="28.1640625" style="143" customWidth="1"/>
    <col min="9477" max="9477" width="9.1640625" style="143" customWidth="1"/>
    <col min="9478" max="9478" width="4.83203125" style="143" customWidth="1"/>
    <col min="9479" max="9479" width="7.5" style="143" customWidth="1"/>
    <col min="9480" max="9480" width="9.1640625" style="143" customWidth="1"/>
    <col min="9481" max="9481" width="9.5" style="143" customWidth="1"/>
    <col min="9482" max="9728" width="11.5" style="143"/>
    <col min="9729" max="9729" width="10.5" style="143" customWidth="1"/>
    <col min="9730" max="9730" width="14.5" style="143" customWidth="1"/>
    <col min="9731" max="9731" width="25.83203125" style="143" customWidth="1"/>
    <col min="9732" max="9732" width="28.1640625" style="143" customWidth="1"/>
    <col min="9733" max="9733" width="9.1640625" style="143" customWidth="1"/>
    <col min="9734" max="9734" width="4.83203125" style="143" customWidth="1"/>
    <col min="9735" max="9735" width="7.5" style="143" customWidth="1"/>
    <col min="9736" max="9736" width="9.1640625" style="143" customWidth="1"/>
    <col min="9737" max="9737" width="9.5" style="143" customWidth="1"/>
    <col min="9738" max="9984" width="11.5" style="143"/>
    <col min="9985" max="9985" width="10.5" style="143" customWidth="1"/>
    <col min="9986" max="9986" width="14.5" style="143" customWidth="1"/>
    <col min="9987" max="9987" width="25.83203125" style="143" customWidth="1"/>
    <col min="9988" max="9988" width="28.1640625" style="143" customWidth="1"/>
    <col min="9989" max="9989" width="9.1640625" style="143" customWidth="1"/>
    <col min="9990" max="9990" width="4.83203125" style="143" customWidth="1"/>
    <col min="9991" max="9991" width="7.5" style="143" customWidth="1"/>
    <col min="9992" max="9992" width="9.1640625" style="143" customWidth="1"/>
    <col min="9993" max="9993" width="9.5" style="143" customWidth="1"/>
    <col min="9994" max="10240" width="11.5" style="143"/>
    <col min="10241" max="10241" width="10.5" style="143" customWidth="1"/>
    <col min="10242" max="10242" width="14.5" style="143" customWidth="1"/>
    <col min="10243" max="10243" width="25.83203125" style="143" customWidth="1"/>
    <col min="10244" max="10244" width="28.1640625" style="143" customWidth="1"/>
    <col min="10245" max="10245" width="9.1640625" style="143" customWidth="1"/>
    <col min="10246" max="10246" width="4.83203125" style="143" customWidth="1"/>
    <col min="10247" max="10247" width="7.5" style="143" customWidth="1"/>
    <col min="10248" max="10248" width="9.1640625" style="143" customWidth="1"/>
    <col min="10249" max="10249" width="9.5" style="143" customWidth="1"/>
    <col min="10250" max="10496" width="11.5" style="143"/>
    <col min="10497" max="10497" width="10.5" style="143" customWidth="1"/>
    <col min="10498" max="10498" width="14.5" style="143" customWidth="1"/>
    <col min="10499" max="10499" width="25.83203125" style="143" customWidth="1"/>
    <col min="10500" max="10500" width="28.1640625" style="143" customWidth="1"/>
    <col min="10501" max="10501" width="9.1640625" style="143" customWidth="1"/>
    <col min="10502" max="10502" width="4.83203125" style="143" customWidth="1"/>
    <col min="10503" max="10503" width="7.5" style="143" customWidth="1"/>
    <col min="10504" max="10504" width="9.1640625" style="143" customWidth="1"/>
    <col min="10505" max="10505" width="9.5" style="143" customWidth="1"/>
    <col min="10506" max="10752" width="11.5" style="143"/>
    <col min="10753" max="10753" width="10.5" style="143" customWidth="1"/>
    <col min="10754" max="10754" width="14.5" style="143" customWidth="1"/>
    <col min="10755" max="10755" width="25.83203125" style="143" customWidth="1"/>
    <col min="10756" max="10756" width="28.1640625" style="143" customWidth="1"/>
    <col min="10757" max="10757" width="9.1640625" style="143" customWidth="1"/>
    <col min="10758" max="10758" width="4.83203125" style="143" customWidth="1"/>
    <col min="10759" max="10759" width="7.5" style="143" customWidth="1"/>
    <col min="10760" max="10760" width="9.1640625" style="143" customWidth="1"/>
    <col min="10761" max="10761" width="9.5" style="143" customWidth="1"/>
    <col min="10762" max="11008" width="11.5" style="143"/>
    <col min="11009" max="11009" width="10.5" style="143" customWidth="1"/>
    <col min="11010" max="11010" width="14.5" style="143" customWidth="1"/>
    <col min="11011" max="11011" width="25.83203125" style="143" customWidth="1"/>
    <col min="11012" max="11012" width="28.1640625" style="143" customWidth="1"/>
    <col min="11013" max="11013" width="9.1640625" style="143" customWidth="1"/>
    <col min="11014" max="11014" width="4.83203125" style="143" customWidth="1"/>
    <col min="11015" max="11015" width="7.5" style="143" customWidth="1"/>
    <col min="11016" max="11016" width="9.1640625" style="143" customWidth="1"/>
    <col min="11017" max="11017" width="9.5" style="143" customWidth="1"/>
    <col min="11018" max="11264" width="11.5" style="143"/>
    <col min="11265" max="11265" width="10.5" style="143" customWidth="1"/>
    <col min="11266" max="11266" width="14.5" style="143" customWidth="1"/>
    <col min="11267" max="11267" width="25.83203125" style="143" customWidth="1"/>
    <col min="11268" max="11268" width="28.1640625" style="143" customWidth="1"/>
    <col min="11269" max="11269" width="9.1640625" style="143" customWidth="1"/>
    <col min="11270" max="11270" width="4.83203125" style="143" customWidth="1"/>
    <col min="11271" max="11271" width="7.5" style="143" customWidth="1"/>
    <col min="11272" max="11272" width="9.1640625" style="143" customWidth="1"/>
    <col min="11273" max="11273" width="9.5" style="143" customWidth="1"/>
    <col min="11274" max="11520" width="11.5" style="143"/>
    <col min="11521" max="11521" width="10.5" style="143" customWidth="1"/>
    <col min="11522" max="11522" width="14.5" style="143" customWidth="1"/>
    <col min="11523" max="11523" width="25.83203125" style="143" customWidth="1"/>
    <col min="11524" max="11524" width="28.1640625" style="143" customWidth="1"/>
    <col min="11525" max="11525" width="9.1640625" style="143" customWidth="1"/>
    <col min="11526" max="11526" width="4.83203125" style="143" customWidth="1"/>
    <col min="11527" max="11527" width="7.5" style="143" customWidth="1"/>
    <col min="11528" max="11528" width="9.1640625" style="143" customWidth="1"/>
    <col min="11529" max="11529" width="9.5" style="143" customWidth="1"/>
    <col min="11530" max="11776" width="11.5" style="143"/>
    <col min="11777" max="11777" width="10.5" style="143" customWidth="1"/>
    <col min="11778" max="11778" width="14.5" style="143" customWidth="1"/>
    <col min="11779" max="11779" width="25.83203125" style="143" customWidth="1"/>
    <col min="11780" max="11780" width="28.1640625" style="143" customWidth="1"/>
    <col min="11781" max="11781" width="9.1640625" style="143" customWidth="1"/>
    <col min="11782" max="11782" width="4.83203125" style="143" customWidth="1"/>
    <col min="11783" max="11783" width="7.5" style="143" customWidth="1"/>
    <col min="11784" max="11784" width="9.1640625" style="143" customWidth="1"/>
    <col min="11785" max="11785" width="9.5" style="143" customWidth="1"/>
    <col min="11786" max="12032" width="11.5" style="143"/>
    <col min="12033" max="12033" width="10.5" style="143" customWidth="1"/>
    <col min="12034" max="12034" width="14.5" style="143" customWidth="1"/>
    <col min="12035" max="12035" width="25.83203125" style="143" customWidth="1"/>
    <col min="12036" max="12036" width="28.1640625" style="143" customWidth="1"/>
    <col min="12037" max="12037" width="9.1640625" style="143" customWidth="1"/>
    <col min="12038" max="12038" width="4.83203125" style="143" customWidth="1"/>
    <col min="12039" max="12039" width="7.5" style="143" customWidth="1"/>
    <col min="12040" max="12040" width="9.1640625" style="143" customWidth="1"/>
    <col min="12041" max="12041" width="9.5" style="143" customWidth="1"/>
    <col min="12042" max="12288" width="11.5" style="143"/>
    <col min="12289" max="12289" width="10.5" style="143" customWidth="1"/>
    <col min="12290" max="12290" width="14.5" style="143" customWidth="1"/>
    <col min="12291" max="12291" width="25.83203125" style="143" customWidth="1"/>
    <col min="12292" max="12292" width="28.1640625" style="143" customWidth="1"/>
    <col min="12293" max="12293" width="9.1640625" style="143" customWidth="1"/>
    <col min="12294" max="12294" width="4.83203125" style="143" customWidth="1"/>
    <col min="12295" max="12295" width="7.5" style="143" customWidth="1"/>
    <col min="12296" max="12296" width="9.1640625" style="143" customWidth="1"/>
    <col min="12297" max="12297" width="9.5" style="143" customWidth="1"/>
    <col min="12298" max="12544" width="11.5" style="143"/>
    <col min="12545" max="12545" width="10.5" style="143" customWidth="1"/>
    <col min="12546" max="12546" width="14.5" style="143" customWidth="1"/>
    <col min="12547" max="12547" width="25.83203125" style="143" customWidth="1"/>
    <col min="12548" max="12548" width="28.1640625" style="143" customWidth="1"/>
    <col min="12549" max="12549" width="9.1640625" style="143" customWidth="1"/>
    <col min="12550" max="12550" width="4.83203125" style="143" customWidth="1"/>
    <col min="12551" max="12551" width="7.5" style="143" customWidth="1"/>
    <col min="12552" max="12552" width="9.1640625" style="143" customWidth="1"/>
    <col min="12553" max="12553" width="9.5" style="143" customWidth="1"/>
    <col min="12554" max="12800" width="11.5" style="143"/>
    <col min="12801" max="12801" width="10.5" style="143" customWidth="1"/>
    <col min="12802" max="12802" width="14.5" style="143" customWidth="1"/>
    <col min="12803" max="12803" width="25.83203125" style="143" customWidth="1"/>
    <col min="12804" max="12804" width="28.1640625" style="143" customWidth="1"/>
    <col min="12805" max="12805" width="9.1640625" style="143" customWidth="1"/>
    <col min="12806" max="12806" width="4.83203125" style="143" customWidth="1"/>
    <col min="12807" max="12807" width="7.5" style="143" customWidth="1"/>
    <col min="12808" max="12808" width="9.1640625" style="143" customWidth="1"/>
    <col min="12809" max="12809" width="9.5" style="143" customWidth="1"/>
    <col min="12810" max="13056" width="11.5" style="143"/>
    <col min="13057" max="13057" width="10.5" style="143" customWidth="1"/>
    <col min="13058" max="13058" width="14.5" style="143" customWidth="1"/>
    <col min="13059" max="13059" width="25.83203125" style="143" customWidth="1"/>
    <col min="13060" max="13060" width="28.1640625" style="143" customWidth="1"/>
    <col min="13061" max="13061" width="9.1640625" style="143" customWidth="1"/>
    <col min="13062" max="13062" width="4.83203125" style="143" customWidth="1"/>
    <col min="13063" max="13063" width="7.5" style="143" customWidth="1"/>
    <col min="13064" max="13064" width="9.1640625" style="143" customWidth="1"/>
    <col min="13065" max="13065" width="9.5" style="143" customWidth="1"/>
    <col min="13066" max="13312" width="11.5" style="143"/>
    <col min="13313" max="13313" width="10.5" style="143" customWidth="1"/>
    <col min="13314" max="13314" width="14.5" style="143" customWidth="1"/>
    <col min="13315" max="13315" width="25.83203125" style="143" customWidth="1"/>
    <col min="13316" max="13316" width="28.1640625" style="143" customWidth="1"/>
    <col min="13317" max="13317" width="9.1640625" style="143" customWidth="1"/>
    <col min="13318" max="13318" width="4.83203125" style="143" customWidth="1"/>
    <col min="13319" max="13319" width="7.5" style="143" customWidth="1"/>
    <col min="13320" max="13320" width="9.1640625" style="143" customWidth="1"/>
    <col min="13321" max="13321" width="9.5" style="143" customWidth="1"/>
    <col min="13322" max="13568" width="11.5" style="143"/>
    <col min="13569" max="13569" width="10.5" style="143" customWidth="1"/>
    <col min="13570" max="13570" width="14.5" style="143" customWidth="1"/>
    <col min="13571" max="13571" width="25.83203125" style="143" customWidth="1"/>
    <col min="13572" max="13572" width="28.1640625" style="143" customWidth="1"/>
    <col min="13573" max="13573" width="9.1640625" style="143" customWidth="1"/>
    <col min="13574" max="13574" width="4.83203125" style="143" customWidth="1"/>
    <col min="13575" max="13575" width="7.5" style="143" customWidth="1"/>
    <col min="13576" max="13576" width="9.1640625" style="143" customWidth="1"/>
    <col min="13577" max="13577" width="9.5" style="143" customWidth="1"/>
    <col min="13578" max="13824" width="11.5" style="143"/>
    <col min="13825" max="13825" width="10.5" style="143" customWidth="1"/>
    <col min="13826" max="13826" width="14.5" style="143" customWidth="1"/>
    <col min="13827" max="13827" width="25.83203125" style="143" customWidth="1"/>
    <col min="13828" max="13828" width="28.1640625" style="143" customWidth="1"/>
    <col min="13829" max="13829" width="9.1640625" style="143" customWidth="1"/>
    <col min="13830" max="13830" width="4.83203125" style="143" customWidth="1"/>
    <col min="13831" max="13831" width="7.5" style="143" customWidth="1"/>
    <col min="13832" max="13832" width="9.1640625" style="143" customWidth="1"/>
    <col min="13833" max="13833" width="9.5" style="143" customWidth="1"/>
    <col min="13834" max="14080" width="11.5" style="143"/>
    <col min="14081" max="14081" width="10.5" style="143" customWidth="1"/>
    <col min="14082" max="14082" width="14.5" style="143" customWidth="1"/>
    <col min="14083" max="14083" width="25.83203125" style="143" customWidth="1"/>
    <col min="14084" max="14084" width="28.1640625" style="143" customWidth="1"/>
    <col min="14085" max="14085" width="9.1640625" style="143" customWidth="1"/>
    <col min="14086" max="14086" width="4.83203125" style="143" customWidth="1"/>
    <col min="14087" max="14087" width="7.5" style="143" customWidth="1"/>
    <col min="14088" max="14088" width="9.1640625" style="143" customWidth="1"/>
    <col min="14089" max="14089" width="9.5" style="143" customWidth="1"/>
    <col min="14090" max="14336" width="11.5" style="143"/>
    <col min="14337" max="14337" width="10.5" style="143" customWidth="1"/>
    <col min="14338" max="14338" width="14.5" style="143" customWidth="1"/>
    <col min="14339" max="14339" width="25.83203125" style="143" customWidth="1"/>
    <col min="14340" max="14340" width="28.1640625" style="143" customWidth="1"/>
    <col min="14341" max="14341" width="9.1640625" style="143" customWidth="1"/>
    <col min="14342" max="14342" width="4.83203125" style="143" customWidth="1"/>
    <col min="14343" max="14343" width="7.5" style="143" customWidth="1"/>
    <col min="14344" max="14344" width="9.1640625" style="143" customWidth="1"/>
    <col min="14345" max="14345" width="9.5" style="143" customWidth="1"/>
    <col min="14346" max="14592" width="11.5" style="143"/>
    <col min="14593" max="14593" width="10.5" style="143" customWidth="1"/>
    <col min="14594" max="14594" width="14.5" style="143" customWidth="1"/>
    <col min="14595" max="14595" width="25.83203125" style="143" customWidth="1"/>
    <col min="14596" max="14596" width="28.1640625" style="143" customWidth="1"/>
    <col min="14597" max="14597" width="9.1640625" style="143" customWidth="1"/>
    <col min="14598" max="14598" width="4.83203125" style="143" customWidth="1"/>
    <col min="14599" max="14599" width="7.5" style="143" customWidth="1"/>
    <col min="14600" max="14600" width="9.1640625" style="143" customWidth="1"/>
    <col min="14601" max="14601" width="9.5" style="143" customWidth="1"/>
    <col min="14602" max="14848" width="11.5" style="143"/>
    <col min="14849" max="14849" width="10.5" style="143" customWidth="1"/>
    <col min="14850" max="14850" width="14.5" style="143" customWidth="1"/>
    <col min="14851" max="14851" width="25.83203125" style="143" customWidth="1"/>
    <col min="14852" max="14852" width="28.1640625" style="143" customWidth="1"/>
    <col min="14853" max="14853" width="9.1640625" style="143" customWidth="1"/>
    <col min="14854" max="14854" width="4.83203125" style="143" customWidth="1"/>
    <col min="14855" max="14855" width="7.5" style="143" customWidth="1"/>
    <col min="14856" max="14856" width="9.1640625" style="143" customWidth="1"/>
    <col min="14857" max="14857" width="9.5" style="143" customWidth="1"/>
    <col min="14858" max="15104" width="11.5" style="143"/>
    <col min="15105" max="15105" width="10.5" style="143" customWidth="1"/>
    <col min="15106" max="15106" width="14.5" style="143" customWidth="1"/>
    <col min="15107" max="15107" width="25.83203125" style="143" customWidth="1"/>
    <col min="15108" max="15108" width="28.1640625" style="143" customWidth="1"/>
    <col min="15109" max="15109" width="9.1640625" style="143" customWidth="1"/>
    <col min="15110" max="15110" width="4.83203125" style="143" customWidth="1"/>
    <col min="15111" max="15111" width="7.5" style="143" customWidth="1"/>
    <col min="15112" max="15112" width="9.1640625" style="143" customWidth="1"/>
    <col min="15113" max="15113" width="9.5" style="143" customWidth="1"/>
    <col min="15114" max="15360" width="11.5" style="143"/>
    <col min="15361" max="15361" width="10.5" style="143" customWidth="1"/>
    <col min="15362" max="15362" width="14.5" style="143" customWidth="1"/>
    <col min="15363" max="15363" width="25.83203125" style="143" customWidth="1"/>
    <col min="15364" max="15364" width="28.1640625" style="143" customWidth="1"/>
    <col min="15365" max="15365" width="9.1640625" style="143" customWidth="1"/>
    <col min="15366" max="15366" width="4.83203125" style="143" customWidth="1"/>
    <col min="15367" max="15367" width="7.5" style="143" customWidth="1"/>
    <col min="15368" max="15368" width="9.1640625" style="143" customWidth="1"/>
    <col min="15369" max="15369" width="9.5" style="143" customWidth="1"/>
    <col min="15370" max="15616" width="11.5" style="143"/>
    <col min="15617" max="15617" width="10.5" style="143" customWidth="1"/>
    <col min="15618" max="15618" width="14.5" style="143" customWidth="1"/>
    <col min="15619" max="15619" width="25.83203125" style="143" customWidth="1"/>
    <col min="15620" max="15620" width="28.1640625" style="143" customWidth="1"/>
    <col min="15621" max="15621" width="9.1640625" style="143" customWidth="1"/>
    <col min="15622" max="15622" width="4.83203125" style="143" customWidth="1"/>
    <col min="15623" max="15623" width="7.5" style="143" customWidth="1"/>
    <col min="15624" max="15624" width="9.1640625" style="143" customWidth="1"/>
    <col min="15625" max="15625" width="9.5" style="143" customWidth="1"/>
    <col min="15626" max="15872" width="11.5" style="143"/>
    <col min="15873" max="15873" width="10.5" style="143" customWidth="1"/>
    <col min="15874" max="15874" width="14.5" style="143" customWidth="1"/>
    <col min="15875" max="15875" width="25.83203125" style="143" customWidth="1"/>
    <col min="15876" max="15876" width="28.1640625" style="143" customWidth="1"/>
    <col min="15877" max="15877" width="9.1640625" style="143" customWidth="1"/>
    <col min="15878" max="15878" width="4.83203125" style="143" customWidth="1"/>
    <col min="15879" max="15879" width="7.5" style="143" customWidth="1"/>
    <col min="15880" max="15880" width="9.1640625" style="143" customWidth="1"/>
    <col min="15881" max="15881" width="9.5" style="143" customWidth="1"/>
    <col min="15882" max="16128" width="11.5" style="143"/>
    <col min="16129" max="16129" width="10.5" style="143" customWidth="1"/>
    <col min="16130" max="16130" width="14.5" style="143" customWidth="1"/>
    <col min="16131" max="16131" width="25.83203125" style="143" customWidth="1"/>
    <col min="16132" max="16132" width="28.1640625" style="143" customWidth="1"/>
    <col min="16133" max="16133" width="9.1640625" style="143" customWidth="1"/>
    <col min="16134" max="16134" width="4.83203125" style="143" customWidth="1"/>
    <col min="16135" max="16135" width="7.5" style="143" customWidth="1"/>
    <col min="16136" max="16136" width="9.1640625" style="143" customWidth="1"/>
    <col min="16137" max="16137" width="9.5" style="143" customWidth="1"/>
    <col min="16138" max="16384" width="11.5" style="143"/>
  </cols>
  <sheetData>
    <row r="1" spans="1:8">
      <c r="A1" s="461" t="s">
        <v>444</v>
      </c>
    </row>
    <row r="2" spans="1:8" ht="15.5" customHeight="1">
      <c r="B2" s="350" t="s">
        <v>0</v>
      </c>
      <c r="C2" s="281"/>
      <c r="D2" s="529">
        <v>2024</v>
      </c>
      <c r="E2" s="530"/>
    </row>
    <row r="3" spans="1:8" ht="5" customHeight="1">
      <c r="B3" s="351"/>
      <c r="C3" s="144"/>
      <c r="D3" s="142"/>
      <c r="E3" s="142"/>
    </row>
    <row r="4" spans="1:8" ht="15.5" customHeight="1">
      <c r="B4" s="350" t="s">
        <v>355</v>
      </c>
      <c r="C4" s="281"/>
      <c r="D4" s="531"/>
      <c r="E4" s="532"/>
      <c r="H4" s="144"/>
    </row>
    <row r="5" spans="1:8" ht="5" customHeight="1">
      <c r="B5" s="351"/>
      <c r="C5" s="144"/>
      <c r="D5" s="144"/>
      <c r="E5" s="144"/>
    </row>
    <row r="6" spans="1:8" s="144" customFormat="1" ht="15.5" customHeight="1">
      <c r="B6" s="350" t="s">
        <v>60</v>
      </c>
      <c r="C6" s="281"/>
      <c r="D6" s="531"/>
      <c r="E6" s="532"/>
    </row>
    <row r="7" spans="1:8" ht="5" customHeight="1">
      <c r="B7" s="351"/>
      <c r="C7" s="144"/>
      <c r="D7" s="144"/>
      <c r="E7" s="144"/>
    </row>
    <row r="8" spans="1:8" s="144" customFormat="1" ht="15.5" customHeight="1">
      <c r="B8" s="350" t="s">
        <v>1</v>
      </c>
      <c r="C8" s="424" t="str">
        <f>IF(OR($D$8="Fachärztin/Facharzt_BSO1994",$D$8="Ärztin/Arzt in Ausbildung_BSO1994",$D$8="Allgemeinmedizinerin/Allgemeinmediziner_BSO1994"),"Besoldungsordnung 1994","Wiener Bedienstetengesetz 2018")</f>
        <v>Besoldungsordnung 1994</v>
      </c>
      <c r="D8" s="531" t="s">
        <v>341</v>
      </c>
      <c r="E8" s="532"/>
    </row>
    <row r="9" spans="1:8" ht="5" customHeight="1">
      <c r="B9" s="351"/>
      <c r="C9" s="144"/>
      <c r="D9" s="144"/>
      <c r="E9" s="144"/>
    </row>
    <row r="10" spans="1:8" ht="15.5" customHeight="1">
      <c r="B10" s="528" t="str">
        <f>"Vorrückungsstichtag / Gehaltsstufe: (Stand 01.01."&amp;$D$2&amp;")"</f>
        <v>Vorrückungsstichtag / Gehaltsstufe: (Stand 01.01.2024)</v>
      </c>
      <c r="C10" s="528"/>
      <c r="D10" s="419">
        <v>46023</v>
      </c>
      <c r="E10" s="418">
        <v>4</v>
      </c>
    </row>
    <row r="11" spans="1:8" ht="5" customHeight="1">
      <c r="B11" s="351"/>
      <c r="C11" s="144"/>
      <c r="D11" s="144"/>
      <c r="E11" s="144"/>
    </row>
    <row r="12" spans="1:8" ht="15.5" customHeight="1">
      <c r="B12" s="528" t="str">
        <f>"Beschäftigung: Wochenstundenanzahl / Arbeitstage"</f>
        <v>Beschäftigung: Wochenstundenanzahl / Arbeitstage</v>
      </c>
      <c r="C12" s="528"/>
      <c r="D12" s="418">
        <v>40</v>
      </c>
      <c r="E12" s="420">
        <v>5</v>
      </c>
    </row>
    <row r="13" spans="1:8" ht="5" customHeight="1">
      <c r="B13" s="285"/>
      <c r="C13" s="144"/>
    </row>
    <row r="14" spans="1:8" ht="15" customHeight="1">
      <c r="B14" s="286"/>
      <c r="C14" s="363" t="s">
        <v>247</v>
      </c>
      <c r="D14" s="366" t="s">
        <v>245</v>
      </c>
      <c r="E14" s="367" t="s">
        <v>363</v>
      </c>
      <c r="F14" s="364" t="s">
        <v>364</v>
      </c>
    </row>
    <row r="15" spans="1:8" ht="15" customHeight="1">
      <c r="B15" s="324" t="s">
        <v>90</v>
      </c>
      <c r="C15" s="330">
        <f ca="1">INDIRECT(B15&amp;"!$E$8")</f>
        <v>48</v>
      </c>
      <c r="D15" s="365"/>
      <c r="E15" s="332" t="str">
        <f ca="1">IF(INDIRECT(B15&amp;"!$E$54")=0,"",INDIRECT(B15&amp;"!$E$54")/2)</f>
        <v/>
      </c>
      <c r="F15" s="368" t="str">
        <f ca="1">IF(SUM(E31:E35,E15)=0,"",SUM(E31:E35,E15))</f>
        <v/>
      </c>
      <c r="H15" s="314"/>
    </row>
    <row r="16" spans="1:8" ht="15" customHeight="1">
      <c r="B16" s="325" t="s">
        <v>2</v>
      </c>
      <c r="C16" s="422">
        <f t="shared" ref="C16:C27" ca="1" si="0">INDIRECT(B16&amp;"!$E$8")</f>
        <v>48</v>
      </c>
      <c r="D16" s="326"/>
      <c r="E16" s="425" t="str">
        <f t="shared" ref="E16:E27" ca="1" si="1">IF(INDIRECT(B16&amp;"!$E$54")=0,"",INDIRECT(B16&amp;"!$E$54")/2)</f>
        <v/>
      </c>
      <c r="F16" s="327"/>
    </row>
    <row r="17" spans="2:8" ht="15" customHeight="1">
      <c r="B17" s="328" t="s">
        <v>3</v>
      </c>
      <c r="C17" s="330">
        <f t="shared" ca="1" si="0"/>
        <v>48</v>
      </c>
      <c r="D17" s="326"/>
      <c r="E17" s="332" t="str">
        <f t="shared" ca="1" si="1"/>
        <v/>
      </c>
      <c r="F17" s="327"/>
      <c r="H17" s="314"/>
    </row>
    <row r="18" spans="2:8" ht="15" customHeight="1">
      <c r="B18" s="328" t="s">
        <v>4</v>
      </c>
      <c r="C18" s="330">
        <f t="shared" ca="1" si="0"/>
        <v>48</v>
      </c>
      <c r="D18" s="326"/>
      <c r="E18" s="332" t="str">
        <f t="shared" ca="1" si="1"/>
        <v/>
      </c>
      <c r="F18" s="312" t="s">
        <v>287</v>
      </c>
      <c r="H18" s="314"/>
    </row>
    <row r="19" spans="2:8" ht="15" customHeight="1">
      <c r="B19" s="328" t="s">
        <v>5</v>
      </c>
      <c r="C19" s="330">
        <f t="shared" ca="1" si="0"/>
        <v>48</v>
      </c>
      <c r="D19" s="326"/>
      <c r="E19" s="332" t="str">
        <f t="shared" ca="1" si="1"/>
        <v/>
      </c>
      <c r="F19" s="312">
        <f>33-((SUM(ABS($E$53),ABS($E$57),ABS($E$58),ABS($E$59))/$D$12))</f>
        <v>33</v>
      </c>
    </row>
    <row r="20" spans="2:8" ht="15" customHeight="1">
      <c r="B20" s="328" t="s">
        <v>6</v>
      </c>
      <c r="C20" s="330">
        <f t="shared" ca="1" si="0"/>
        <v>48</v>
      </c>
      <c r="D20" s="313" t="str">
        <f>TEXT(Februar!C14,"TT.MM.JJJJ")&amp;" - "&amp;TEXT(Juli!C44,"TT.MM.JJJJ")</f>
        <v>01.02.2024 - 31.07.2024</v>
      </c>
      <c r="E20" s="332" t="str">
        <f t="shared" ca="1" si="1"/>
        <v/>
      </c>
      <c r="F20" s="327"/>
    </row>
    <row r="21" spans="2:8" ht="15" customHeight="1">
      <c r="B21" s="329" t="s">
        <v>7</v>
      </c>
      <c r="C21" s="330">
        <f t="shared" ca="1" si="0"/>
        <v>48</v>
      </c>
      <c r="D21" s="331">
        <f>(SUM(Februar:Juli!$K$6))/(((Datenblatt!$G$113)*0.2)-(0.2*(SUM(Februar:Juli!$D$59))))</f>
        <v>48</v>
      </c>
      <c r="E21" s="332" t="str">
        <f t="shared" ca="1" si="1"/>
        <v/>
      </c>
      <c r="F21" s="333" t="str">
        <f ca="1">IF((SUM(E16:E21))=0,"",SUM(E16:E21))</f>
        <v/>
      </c>
      <c r="H21" s="314"/>
    </row>
    <row r="22" spans="2:8" ht="15" customHeight="1">
      <c r="B22" s="325" t="s">
        <v>8</v>
      </c>
      <c r="C22" s="422">
        <f t="shared" ca="1" si="0"/>
        <v>48</v>
      </c>
      <c r="D22" s="334"/>
      <c r="E22" s="425" t="str">
        <f t="shared" ca="1" si="1"/>
        <v/>
      </c>
      <c r="F22" s="327"/>
    </row>
    <row r="23" spans="2:8" ht="15" customHeight="1">
      <c r="B23" s="328" t="s">
        <v>9</v>
      </c>
      <c r="C23" s="330">
        <f t="shared" ca="1" si="0"/>
        <v>48</v>
      </c>
      <c r="D23" s="326"/>
      <c r="E23" s="332" t="str">
        <f t="shared" ca="1" si="1"/>
        <v/>
      </c>
      <c r="F23" s="327"/>
    </row>
    <row r="24" spans="2:8" ht="15" customHeight="1">
      <c r="B24" s="328" t="s">
        <v>10</v>
      </c>
      <c r="C24" s="330">
        <f t="shared" ca="1" si="0"/>
        <v>48</v>
      </c>
      <c r="D24" s="326"/>
      <c r="E24" s="332" t="str">
        <f t="shared" ca="1" si="1"/>
        <v/>
      </c>
      <c r="F24" s="312" t="s">
        <v>287</v>
      </c>
    </row>
    <row r="25" spans="2:8" ht="15" customHeight="1">
      <c r="B25" s="328" t="s">
        <v>11</v>
      </c>
      <c r="C25" s="330">
        <f t="shared" ca="1" si="0"/>
        <v>48</v>
      </c>
      <c r="D25" s="326"/>
      <c r="E25" s="332" t="str">
        <f t="shared" ca="1" si="1"/>
        <v/>
      </c>
      <c r="F25" s="312">
        <f>33-((SUM(ABS($E$63),ABS($E$67),ABS($E$68),ABS($E$69))/$D$12))</f>
        <v>33</v>
      </c>
    </row>
    <row r="26" spans="2:8" ht="15" customHeight="1">
      <c r="B26" s="328" t="s">
        <v>12</v>
      </c>
      <c r="C26" s="330">
        <f t="shared" ca="1" si="0"/>
        <v>48</v>
      </c>
      <c r="D26" s="313" t="str">
        <f>TEXT(August!C14,"TT.MM.JJJJ")&amp;" - "&amp;TEXT(Jänner.!C44,"TT.MM.JJJJ")</f>
        <v>01.08.2024 - 31.01.2025</v>
      </c>
      <c r="E26" s="332" t="str">
        <f t="shared" ca="1" si="1"/>
        <v/>
      </c>
      <c r="F26" s="327"/>
    </row>
    <row r="27" spans="2:8" ht="15" customHeight="1">
      <c r="B27" s="335" t="s">
        <v>246</v>
      </c>
      <c r="C27" s="423">
        <f t="shared" ca="1" si="0"/>
        <v>48</v>
      </c>
      <c r="D27" s="336">
        <f>(SUM(August:Jänner.!$K$6))/(((Datenblatt!$G$114)*0.2)-(0.2*(SUM(August:Jänner.!$D$59))))</f>
        <v>48</v>
      </c>
      <c r="E27" s="426" t="str">
        <f t="shared" ca="1" si="1"/>
        <v/>
      </c>
      <c r="F27" s="337" t="str">
        <f ca="1">IF((SUM(E22:E27))=0,"",SUM(E22:E27))</f>
        <v/>
      </c>
    </row>
    <row r="28" spans="2:8" ht="10" customHeight="1">
      <c r="D28" s="282"/>
    </row>
    <row r="29" spans="2:8" s="144" customFormat="1" ht="15" customHeight="1">
      <c r="B29" s="362"/>
      <c r="C29" s="369">
        <f>DATE(D2,1,1)</f>
        <v>45292</v>
      </c>
      <c r="D29" s="526" t="str">
        <f>"angetretene ND Anzahl bitte eintragen"&amp;" "&amp;$D$2-1</f>
        <v>angetretene ND Anzahl bitte eintragen 2023</v>
      </c>
      <c r="E29" s="527"/>
    </row>
    <row r="30" spans="2:8" ht="15" customHeight="1">
      <c r="B30" s="361" t="s">
        <v>234</v>
      </c>
      <c r="C30" s="370"/>
      <c r="D30" s="371" t="s">
        <v>7</v>
      </c>
      <c r="E30" s="309"/>
    </row>
    <row r="31" spans="2:8" ht="15" customHeight="1">
      <c r="B31" s="401" t="s">
        <v>235</v>
      </c>
      <c r="C31" s="372"/>
      <c r="D31" s="371" t="s">
        <v>8</v>
      </c>
      <c r="E31" s="309"/>
    </row>
    <row r="32" spans="2:8" ht="15" customHeight="1">
      <c r="B32" s="310" t="s">
        <v>148</v>
      </c>
      <c r="C32" s="372"/>
      <c r="D32" s="371" t="s">
        <v>9</v>
      </c>
      <c r="E32" s="309"/>
    </row>
    <row r="33" spans="2:7" ht="15" customHeight="1">
      <c r="B33" s="311" t="s">
        <v>166</v>
      </c>
      <c r="C33" s="373"/>
      <c r="D33" s="371" t="s">
        <v>10</v>
      </c>
      <c r="E33" s="309"/>
    </row>
    <row r="34" spans="2:7" ht="15" customHeight="1">
      <c r="D34" s="400" t="s">
        <v>11</v>
      </c>
      <c r="E34" s="309"/>
    </row>
    <row r="35" spans="2:7" ht="15" customHeight="1">
      <c r="C35" s="306"/>
      <c r="D35" s="339" t="s">
        <v>12</v>
      </c>
      <c r="E35" s="480"/>
    </row>
    <row r="36" spans="2:7" ht="15" customHeight="1">
      <c r="G36" s="231"/>
    </row>
    <row r="37" spans="2:7" s="287" customFormat="1" ht="12" hidden="1" customHeight="1">
      <c r="B37" s="289" t="s">
        <v>158</v>
      </c>
      <c r="C37" s="289" t="s">
        <v>255</v>
      </c>
      <c r="D37" s="289" t="s">
        <v>256</v>
      </c>
    </row>
    <row r="38" spans="2:7" s="287" customFormat="1" ht="12" hidden="1" customHeight="1">
      <c r="B38" s="290" t="s">
        <v>90</v>
      </c>
      <c r="C38" s="297">
        <f ca="1">INDIRECT(B38&amp;"!$D$51")+INDIRECT(B38&amp;"!$D$52")+INDIRECT(B38&amp;"!$D$53")+INDIRECT(B38&amp;"!$D$54")+INDIRECT(B38&amp;"!$D$56")+INDIRECT(B38&amp;"!$D$57")+INDIRECT(B38&amp;"!$D$58")+INDIRECT(B38&amp;"!$D$60")</f>
        <v>0</v>
      </c>
      <c r="D38" s="291">
        <f ca="1">INDIRECT(B38&amp;"!$B$51")+INDIRECT(B38&amp;"!$B$52")+INDIRECT(B38&amp;"!$B$53")+INDIRECT(B38&amp;"!$B$54")+INDIRECT(B38&amp;"!$B$56")+INDIRECT(B38&amp;"!$B$57")+INDIRECT(B38&amp;"!$B$58")+INDIRECT(B38&amp;"!$B$60")</f>
        <v>0</v>
      </c>
      <c r="E38" s="296"/>
    </row>
    <row r="39" spans="2:7" s="287" customFormat="1" ht="12" hidden="1" customHeight="1">
      <c r="B39" s="290" t="s">
        <v>2</v>
      </c>
      <c r="C39" s="297">
        <f t="shared" ref="C39:C50" ca="1" si="2">INDIRECT(B39&amp;"!$D$51")+INDIRECT(B39&amp;"!$D$52")+INDIRECT(B39&amp;"!$D$53")+INDIRECT(B39&amp;"!$D$54")+INDIRECT(B39&amp;"!$D$56")+INDIRECT(B39&amp;"!$D$57")+INDIRECT(B39&amp;"!$D$58")+INDIRECT(B39&amp;"!$D$60")</f>
        <v>0</v>
      </c>
      <c r="D39" s="291">
        <f t="shared" ref="D39:D50" ca="1" si="3">INDIRECT(B39&amp;"!$B$51")+INDIRECT(B39&amp;"!$B$52")+INDIRECT(B39&amp;"!$B$53")+INDIRECT(B39&amp;"!$B$54")+INDIRECT(B39&amp;"!$B$56")+INDIRECT(B39&amp;"!$B$57")+INDIRECT(B39&amp;"!$B$58")+INDIRECT(B39&amp;"!$B$60")</f>
        <v>0</v>
      </c>
    </row>
    <row r="40" spans="2:7" s="287" customFormat="1" ht="12" hidden="1" customHeight="1">
      <c r="B40" s="290" t="s">
        <v>3</v>
      </c>
      <c r="C40" s="297">
        <f t="shared" ca="1" si="2"/>
        <v>0</v>
      </c>
      <c r="D40" s="291">
        <f t="shared" ca="1" si="3"/>
        <v>0</v>
      </c>
    </row>
    <row r="41" spans="2:7" s="287" customFormat="1" ht="12" hidden="1" customHeight="1">
      <c r="B41" s="290" t="s">
        <v>4</v>
      </c>
      <c r="C41" s="297">
        <f t="shared" ca="1" si="2"/>
        <v>0</v>
      </c>
      <c r="D41" s="291">
        <f t="shared" ca="1" si="3"/>
        <v>0</v>
      </c>
      <c r="E41" s="396"/>
    </row>
    <row r="42" spans="2:7" s="287" customFormat="1" ht="12" hidden="1" customHeight="1">
      <c r="B42" s="290" t="s">
        <v>5</v>
      </c>
      <c r="C42" s="297">
        <f t="shared" ca="1" si="2"/>
        <v>0</v>
      </c>
      <c r="D42" s="291">
        <f t="shared" ca="1" si="3"/>
        <v>0</v>
      </c>
    </row>
    <row r="43" spans="2:7" s="287" customFormat="1" ht="12" hidden="1" customHeight="1">
      <c r="B43" s="290" t="s">
        <v>6</v>
      </c>
      <c r="C43" s="297">
        <f t="shared" ca="1" si="2"/>
        <v>0</v>
      </c>
      <c r="D43" s="291">
        <f t="shared" ca="1" si="3"/>
        <v>0</v>
      </c>
    </row>
    <row r="44" spans="2:7" s="287" customFormat="1" ht="12" hidden="1" customHeight="1">
      <c r="B44" s="290" t="s">
        <v>7</v>
      </c>
      <c r="C44" s="297">
        <f t="shared" ca="1" si="2"/>
        <v>0</v>
      </c>
      <c r="D44" s="291">
        <f t="shared" ca="1" si="3"/>
        <v>0</v>
      </c>
    </row>
    <row r="45" spans="2:7" s="287" customFormat="1" ht="12" hidden="1" customHeight="1">
      <c r="B45" s="290" t="s">
        <v>8</v>
      </c>
      <c r="C45" s="297">
        <f t="shared" ca="1" si="2"/>
        <v>0</v>
      </c>
      <c r="D45" s="291">
        <f t="shared" ca="1" si="3"/>
        <v>0</v>
      </c>
    </row>
    <row r="46" spans="2:7" s="287" customFormat="1" ht="12" hidden="1" customHeight="1">
      <c r="B46" s="290" t="s">
        <v>9</v>
      </c>
      <c r="C46" s="297">
        <f t="shared" ca="1" si="2"/>
        <v>0</v>
      </c>
      <c r="D46" s="291">
        <f t="shared" ca="1" si="3"/>
        <v>0</v>
      </c>
    </row>
    <row r="47" spans="2:7" s="287" customFormat="1" ht="12" hidden="1" customHeight="1">
      <c r="B47" s="290" t="s">
        <v>10</v>
      </c>
      <c r="C47" s="297">
        <f t="shared" ca="1" si="2"/>
        <v>0</v>
      </c>
      <c r="D47" s="291">
        <f t="shared" ca="1" si="3"/>
        <v>0</v>
      </c>
    </row>
    <row r="48" spans="2:7" s="287" customFormat="1" ht="12" hidden="1" customHeight="1">
      <c r="B48" s="290" t="s">
        <v>11</v>
      </c>
      <c r="C48" s="297">
        <f t="shared" ca="1" si="2"/>
        <v>0</v>
      </c>
      <c r="D48" s="291">
        <f t="shared" ca="1" si="3"/>
        <v>0</v>
      </c>
    </row>
    <row r="49" spans="2:6" s="287" customFormat="1" ht="12" hidden="1" customHeight="1">
      <c r="B49" s="290" t="s">
        <v>12</v>
      </c>
      <c r="C49" s="297">
        <f t="shared" ca="1" si="2"/>
        <v>0</v>
      </c>
      <c r="D49" s="291">
        <f t="shared" ca="1" si="3"/>
        <v>0</v>
      </c>
    </row>
    <row r="50" spans="2:6" s="287" customFormat="1" ht="12" hidden="1" customHeight="1">
      <c r="B50" s="292" t="s">
        <v>246</v>
      </c>
      <c r="C50" s="297">
        <f t="shared" ca="1" si="2"/>
        <v>0</v>
      </c>
      <c r="D50" s="291">
        <f t="shared" ca="1" si="3"/>
        <v>0</v>
      </c>
    </row>
    <row r="51" spans="2:6" s="287" customFormat="1" ht="5" hidden="1" customHeight="1">
      <c r="B51" s="293"/>
      <c r="C51" s="293"/>
      <c r="D51" s="293"/>
    </row>
    <row r="52" spans="2:6" s="287" customFormat="1" ht="12" hidden="1" customHeight="1">
      <c r="B52" s="294" t="str">
        <f>"Abwesenheiten"&amp;" "&amp;$D$2</f>
        <v>Abwesenheiten 2024</v>
      </c>
      <c r="C52" s="294" t="s">
        <v>253</v>
      </c>
      <c r="D52" s="294" t="s">
        <v>254</v>
      </c>
      <c r="E52" s="294" t="s">
        <v>258</v>
      </c>
      <c r="F52" s="294" t="s">
        <v>260</v>
      </c>
    </row>
    <row r="53" spans="2:6" s="287" customFormat="1" ht="12" hidden="1" customHeight="1">
      <c r="B53" s="295" t="s">
        <v>252</v>
      </c>
      <c r="C53" s="297">
        <f>SUM(Jänner:Dezember!$D51)</f>
        <v>0</v>
      </c>
      <c r="D53" s="288">
        <f>SUM(Jänner:Dezember!$B51)</f>
        <v>0</v>
      </c>
      <c r="E53" s="297">
        <f>SUM(Februar:Juli!$D51)</f>
        <v>0</v>
      </c>
      <c r="F53" s="288">
        <f>SUM(Februar:Juli!$B51)</f>
        <v>0</v>
      </c>
    </row>
    <row r="54" spans="2:6" s="287" customFormat="1" ht="12" hidden="1" customHeight="1">
      <c r="B54" s="295" t="s">
        <v>21</v>
      </c>
      <c r="C54" s="297">
        <f>SUM(Jänner:Dezember!$D52)</f>
        <v>0</v>
      </c>
      <c r="D54" s="288">
        <f>SUM(Jänner:Dezember!$B52)</f>
        <v>0</v>
      </c>
      <c r="E54" s="297">
        <f>SUM(Februar:Juli!$D52)</f>
        <v>0</v>
      </c>
      <c r="F54" s="288">
        <f>SUM(Februar:Juli!$B52)</f>
        <v>0</v>
      </c>
    </row>
    <row r="55" spans="2:6" s="287" customFormat="1" ht="12" hidden="1" customHeight="1">
      <c r="B55" s="295" t="s">
        <v>133</v>
      </c>
      <c r="C55" s="297">
        <f>SUM(Jänner:Dezember!$D53)</f>
        <v>0</v>
      </c>
      <c r="D55" s="288">
        <f>SUM(Jänner:Dezember!$B53)</f>
        <v>0</v>
      </c>
      <c r="E55" s="297">
        <f>SUM(Februar:Juli!$D53)</f>
        <v>0</v>
      </c>
      <c r="F55" s="288">
        <f>SUM(Februar:Juli!$B53)</f>
        <v>0</v>
      </c>
    </row>
    <row r="56" spans="2:6" s="287" customFormat="1" ht="12" hidden="1" customHeight="1">
      <c r="B56" s="295" t="s">
        <v>128</v>
      </c>
      <c r="C56" s="297">
        <f>SUM(Jänner:Dezember!$D54)</f>
        <v>0</v>
      </c>
      <c r="D56" s="288">
        <f>SUM(Jänner:Dezember!$B54)</f>
        <v>0</v>
      </c>
      <c r="E56" s="297">
        <f>SUM(Februar:Juli!$D54)</f>
        <v>0</v>
      </c>
      <c r="F56" s="288">
        <f>SUM(Februar:Juli!$B54)</f>
        <v>0</v>
      </c>
    </row>
    <row r="57" spans="2:6" s="287" customFormat="1" ht="12" hidden="1" customHeight="1">
      <c r="B57" s="295" t="s">
        <v>24</v>
      </c>
      <c r="C57" s="297">
        <f>SUM(Jänner:Dezember!$D56)</f>
        <v>0</v>
      </c>
      <c r="D57" s="288">
        <f>SUM(Jänner:Dezember!$B56)</f>
        <v>0</v>
      </c>
      <c r="E57" s="297">
        <f>SUM(Februar:Juli!$D56)</f>
        <v>0</v>
      </c>
      <c r="F57" s="288">
        <f>SUM(Februar:Juli!$B56)</f>
        <v>0</v>
      </c>
    </row>
    <row r="58" spans="2:6" s="287" customFormat="1" ht="12" hidden="1" customHeight="1">
      <c r="B58" s="295" t="s">
        <v>250</v>
      </c>
      <c r="C58" s="297">
        <f>SUM(Jänner:Dezember!$D57)</f>
        <v>0</v>
      </c>
      <c r="D58" s="288">
        <f>SUM(Jänner:Dezember!$B57)</f>
        <v>0</v>
      </c>
      <c r="E58" s="297">
        <f>SUM(Februar:Juli!$D57)</f>
        <v>0</v>
      </c>
      <c r="F58" s="288">
        <f>SUM(Februar:Juli!$B57)</f>
        <v>0</v>
      </c>
    </row>
    <row r="59" spans="2:6" s="287" customFormat="1" ht="12" hidden="1" customHeight="1">
      <c r="B59" s="295" t="s">
        <v>251</v>
      </c>
      <c r="C59" s="297">
        <f>SUM(Jänner:Dezember!$D58)</f>
        <v>0</v>
      </c>
      <c r="D59" s="288">
        <f>SUM(Jänner:Dezember!$B58)</f>
        <v>0</v>
      </c>
      <c r="E59" s="297">
        <f>SUM(Februar:Juli!$D58)</f>
        <v>0</v>
      </c>
      <c r="F59" s="288">
        <f>SUM(Februar:Juli!$B58)</f>
        <v>0</v>
      </c>
    </row>
    <row r="60" spans="2:6" ht="12" hidden="1" customHeight="1">
      <c r="B60" s="295" t="s">
        <v>112</v>
      </c>
      <c r="C60" s="297">
        <f>SUM(Jänner:Dezember!$D60)</f>
        <v>0</v>
      </c>
      <c r="D60" s="288">
        <f>SUM(Jänner:Dezember!$B60)</f>
        <v>0</v>
      </c>
      <c r="E60" s="297">
        <f>SUM(Februar:Juli!$D60)</f>
        <v>0</v>
      </c>
      <c r="F60" s="288">
        <f>SUM(Februar:Juli!$B60)</f>
        <v>0</v>
      </c>
    </row>
    <row r="61" spans="2:6" ht="12" hidden="1" customHeight="1">
      <c r="B61" s="295" t="s">
        <v>257</v>
      </c>
      <c r="C61" s="297"/>
      <c r="D61" s="288">
        <f>SUM(Jänner:Dezember!$B61)</f>
        <v>0</v>
      </c>
      <c r="E61" s="297"/>
      <c r="F61" s="288">
        <f>SUM(Februar:Juli!$B61)</f>
        <v>0</v>
      </c>
    </row>
    <row r="62" spans="2:6" ht="12" hidden="1" customHeight="1">
      <c r="B62" s="294" t="str">
        <f>"Abwesenheiten"&amp;" "&amp;$D$2</f>
        <v>Abwesenheiten 2024</v>
      </c>
      <c r="E62" s="294" t="s">
        <v>259</v>
      </c>
      <c r="F62" s="294" t="s">
        <v>261</v>
      </c>
    </row>
    <row r="63" spans="2:6" ht="12" hidden="1" customHeight="1">
      <c r="B63" s="295" t="s">
        <v>252</v>
      </c>
      <c r="C63" s="298"/>
      <c r="D63" s="298"/>
      <c r="E63" s="297">
        <f>SUM(August:Jänner.!$D51)</f>
        <v>0</v>
      </c>
      <c r="F63" s="288">
        <f>SUM(August:Jänner.!$B51)</f>
        <v>0</v>
      </c>
    </row>
    <row r="64" spans="2:6" ht="12" hidden="1" customHeight="1">
      <c r="B64" s="295" t="s">
        <v>21</v>
      </c>
      <c r="C64" s="298"/>
      <c r="D64" s="298"/>
      <c r="E64" s="297">
        <f>SUM(August:Jänner.!$D52)</f>
        <v>0</v>
      </c>
      <c r="F64" s="288">
        <f>SUM(August:Jänner.!$B52)</f>
        <v>0</v>
      </c>
    </row>
    <row r="65" spans="2:6" ht="12" hidden="1" customHeight="1">
      <c r="B65" s="295" t="s">
        <v>133</v>
      </c>
      <c r="C65" s="298"/>
      <c r="D65" s="298"/>
      <c r="E65" s="297">
        <f>SUM(August:Jänner.!$D53)</f>
        <v>0</v>
      </c>
      <c r="F65" s="288">
        <f>SUM(August:Jänner.!$B53)</f>
        <v>0</v>
      </c>
    </row>
    <row r="66" spans="2:6" ht="12" hidden="1" customHeight="1">
      <c r="B66" s="295" t="s">
        <v>128</v>
      </c>
      <c r="C66" s="298"/>
      <c r="D66" s="298"/>
      <c r="E66" s="297">
        <f>SUM(August:Jänner.!$D54)</f>
        <v>0</v>
      </c>
      <c r="F66" s="288">
        <f>SUM(August:Jänner.!$B54)</f>
        <v>0</v>
      </c>
    </row>
    <row r="67" spans="2:6" ht="12" hidden="1" customHeight="1">
      <c r="B67" s="295" t="s">
        <v>24</v>
      </c>
      <c r="C67" s="298"/>
      <c r="D67" s="298"/>
      <c r="E67" s="297">
        <f>SUM(August:Jänner.!$D56)</f>
        <v>0</v>
      </c>
      <c r="F67" s="288">
        <f>SUM(August:Jänner.!$B56)</f>
        <v>0</v>
      </c>
    </row>
    <row r="68" spans="2:6" ht="12" hidden="1" customHeight="1">
      <c r="B68" s="295" t="s">
        <v>250</v>
      </c>
      <c r="C68" s="298"/>
      <c r="D68" s="298"/>
      <c r="E68" s="297">
        <f>SUM(August:Jänner.!$D57)</f>
        <v>0</v>
      </c>
      <c r="F68" s="288">
        <f>SUM(August:Jänner.!$B57)</f>
        <v>0</v>
      </c>
    </row>
    <row r="69" spans="2:6" ht="12" hidden="1" customHeight="1">
      <c r="B69" s="295" t="s">
        <v>251</v>
      </c>
      <c r="C69" s="298"/>
      <c r="D69" s="298"/>
      <c r="E69" s="297">
        <f>SUM(August:Jänner.!$D58)</f>
        <v>0</v>
      </c>
      <c r="F69" s="288">
        <f>SUM(August:Jänner.!$B58)</f>
        <v>0</v>
      </c>
    </row>
    <row r="70" spans="2:6" ht="12" hidden="1" customHeight="1">
      <c r="B70" s="295" t="s">
        <v>112</v>
      </c>
      <c r="C70" s="298"/>
      <c r="D70" s="298"/>
      <c r="E70" s="297">
        <f>SUM(August:Jänner.!$D60)</f>
        <v>0</v>
      </c>
      <c r="F70" s="288">
        <f>SUM(August:Jänner.!$B60)</f>
        <v>0</v>
      </c>
    </row>
    <row r="71" spans="2:6" ht="12" hidden="1" customHeight="1">
      <c r="B71" s="295" t="s">
        <v>257</v>
      </c>
      <c r="C71" s="298"/>
      <c r="D71" s="298"/>
      <c r="E71" s="297"/>
      <c r="F71" s="288">
        <f>SUM(August:Jänner.!$B61)</f>
        <v>0</v>
      </c>
    </row>
    <row r="72" spans="2:6" ht="5" hidden="1" customHeight="1"/>
    <row r="73" spans="2:6" hidden="1"/>
    <row r="74" spans="2:6">
      <c r="B74" s="483" t="s">
        <v>391</v>
      </c>
    </row>
  </sheetData>
  <sheetProtection algorithmName="SHA-512" hashValue="PnLvyfYKnvaLiMqtXx2xkcx+DUkSsLVa/zh5vsTdPYVWiiuA6KTlN3KvyF4kAojIr9yBW9c+3zUQyup6y1DtGA==" saltValue="UIH+/19DZTImcOuWqBd1lg==" spinCount="100000" sheet="1" selectLockedCells="1"/>
  <mergeCells count="7">
    <mergeCell ref="D29:E29"/>
    <mergeCell ref="B10:C10"/>
    <mergeCell ref="B12:C12"/>
    <mergeCell ref="D2:E2"/>
    <mergeCell ref="D4:E4"/>
    <mergeCell ref="D6:E6"/>
    <mergeCell ref="D8:E8"/>
  </mergeCells>
  <conditionalFormatting sqref="C15:C27">
    <cfRule type="cellIs" dxfId="478" priority="8" operator="greaterThan">
      <formula>48</formula>
    </cfRule>
  </conditionalFormatting>
  <conditionalFormatting sqref="D21">
    <cfRule type="cellIs" dxfId="477" priority="7" operator="greaterThan">
      <formula>48</formula>
    </cfRule>
  </conditionalFormatting>
  <conditionalFormatting sqref="D27">
    <cfRule type="cellIs" dxfId="476" priority="3" operator="greaterThan">
      <formula>48</formula>
    </cfRule>
  </conditionalFormatting>
  <conditionalFormatting sqref="F21">
    <cfRule type="containsBlanks" dxfId="475" priority="1">
      <formula>LEN(TRIM(F21))=0</formula>
    </cfRule>
    <cfRule type="cellIs" dxfId="474" priority="2" operator="greaterThan">
      <formula>33</formula>
    </cfRule>
  </conditionalFormatting>
  <conditionalFormatting sqref="F27">
    <cfRule type="cellIs" dxfId="473" priority="6" operator="greaterThan">
      <formula>33</formula>
    </cfRule>
    <cfRule type="containsBlanks" dxfId="472" priority="5">
      <formula>LEN(TRIM(F27))=0</formula>
    </cfRule>
  </conditionalFormatting>
  <pageMargins left="0" right="0" top="0" bottom="0" header="0" footer="0"/>
  <pageSetup paperSize="9" orientation="landscape" horizontalDpi="4294967293" verticalDpi="1200" r:id="rId1"/>
  <ignoredErrors>
    <ignoredError sqref="F15" formulaRang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200-000003000000}">
          <x14:formula1>
            <xm:f>Gehalt!$A$4:$A$22</xm:f>
          </x14:formula1>
          <xm:sqref>E10</xm:sqref>
        </x14:dataValidation>
        <x14:dataValidation type="list" allowBlank="1" showInputMessage="1" showErrorMessage="1" xr:uid="{00000000-0002-0000-0200-000001000000}">
          <x14:formula1>
            <xm:f>Gehalt!$K$32:$K$41</xm:f>
          </x14:formula1>
          <xm:sqref>D8:E8</xm:sqref>
        </x14:dataValidation>
        <x14:dataValidation type="list" allowBlank="1" showInputMessage="1" showErrorMessage="1" xr:uid="{7F5DF537-FD52-41C7-8B0D-B4BBAA62E01B}">
          <x14:formula1>
            <xm:f>Datenblatt!$J$22:$J$26</xm:f>
          </x14:formula1>
          <xm:sqref>E12</xm:sqref>
        </x14:dataValidation>
        <x14:dataValidation type="list" allowBlank="1" showInputMessage="1" showErrorMessage="1" xr:uid="{00000000-0002-0000-0200-000000000000}">
          <x14:formula1>
            <xm:f>Datenblatt!$J$2:$J$17</xm:f>
          </x14:formula1>
          <xm:sqref>E30:E35</xm:sqref>
        </x14:dataValidation>
        <x14:dataValidation type="list" allowBlank="1" showInputMessage="1" showErrorMessage="1" xr:uid="{1640CA9F-8C4E-4213-9BAB-DF5EA618D622}">
          <x14:formula1>
            <xm:f>Datenblatt!$K$2:$K$81</xm:f>
          </x14:formula1>
          <xm:sqref>D12</xm:sqref>
        </x14:dataValidation>
        <x14:dataValidation type="list" allowBlank="1" showInputMessage="1" showErrorMessage="1" xr:uid="{00000000-0002-0000-0200-000002000000}">
          <x14:formula1>
            <xm:f>Datenblatt!$P$2:$P$61</xm:f>
          </x14:formula1>
          <xm:sqref>D10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140" customWidth="1"/>
    <col min="2" max="2" width="3.1640625" style="56" customWidth="1"/>
    <col min="3" max="3" width="8.83203125" style="56" customWidth="1"/>
    <col min="4" max="5" width="9.83203125" style="56" customWidth="1"/>
    <col min="6" max="10" width="9.1640625" style="56" customWidth="1"/>
    <col min="11" max="16" width="8.83203125" style="56" customWidth="1"/>
    <col min="17" max="17" width="23.5" style="66" customWidth="1"/>
    <col min="18" max="18" width="36.5" style="66" customWidth="1"/>
    <col min="19" max="19" width="43.5" style="56" customWidth="1"/>
    <col min="20" max="33" width="7.1640625" style="234" customWidth="1"/>
    <col min="34" max="34" width="7.1640625" style="301" customWidth="1"/>
    <col min="35" max="264" width="11.5" style="56"/>
    <col min="265" max="265" width="0.5" style="56" customWidth="1"/>
    <col min="266" max="266" width="3.1640625" style="56" customWidth="1"/>
    <col min="267" max="267" width="8.83203125" style="56" customWidth="1"/>
    <col min="268" max="268" width="14.83203125" style="56" customWidth="1"/>
    <col min="269" max="270" width="6.5" style="56" customWidth="1"/>
    <col min="271" max="271" width="14.83203125" style="56" customWidth="1"/>
    <col min="272" max="273" width="11.5" style="56" customWidth="1"/>
    <col min="274" max="274" width="6.1640625" style="56" customWidth="1"/>
    <col min="275" max="275" width="22.83203125" style="56" customWidth="1"/>
    <col min="276" max="276" width="11.5" style="56" customWidth="1"/>
    <col min="277" max="277" width="13.83203125" style="56" customWidth="1"/>
    <col min="278" max="278" width="5.83203125" style="56" customWidth="1"/>
    <col min="279" max="279" width="15.5" style="56" customWidth="1"/>
    <col min="280" max="520" width="11.5" style="56"/>
    <col min="521" max="521" width="0.5" style="56" customWidth="1"/>
    <col min="522" max="522" width="3.1640625" style="56" customWidth="1"/>
    <col min="523" max="523" width="8.83203125" style="56" customWidth="1"/>
    <col min="524" max="524" width="14.83203125" style="56" customWidth="1"/>
    <col min="525" max="526" width="6.5" style="56" customWidth="1"/>
    <col min="527" max="527" width="14.83203125" style="56" customWidth="1"/>
    <col min="528" max="529" width="11.5" style="56" customWidth="1"/>
    <col min="530" max="530" width="6.1640625" style="56" customWidth="1"/>
    <col min="531" max="531" width="22.83203125" style="56" customWidth="1"/>
    <col min="532" max="532" width="11.5" style="56" customWidth="1"/>
    <col min="533" max="533" width="13.83203125" style="56" customWidth="1"/>
    <col min="534" max="534" width="5.83203125" style="56" customWidth="1"/>
    <col min="535" max="535" width="15.5" style="56" customWidth="1"/>
    <col min="536" max="776" width="11.5" style="56"/>
    <col min="777" max="777" width="0.5" style="56" customWidth="1"/>
    <col min="778" max="778" width="3.1640625" style="56" customWidth="1"/>
    <col min="779" max="779" width="8.83203125" style="56" customWidth="1"/>
    <col min="780" max="780" width="14.83203125" style="56" customWidth="1"/>
    <col min="781" max="782" width="6.5" style="56" customWidth="1"/>
    <col min="783" max="783" width="14.83203125" style="56" customWidth="1"/>
    <col min="784" max="785" width="11.5" style="56" customWidth="1"/>
    <col min="786" max="786" width="6.1640625" style="56" customWidth="1"/>
    <col min="787" max="787" width="22.83203125" style="56" customWidth="1"/>
    <col min="788" max="788" width="11.5" style="56" customWidth="1"/>
    <col min="789" max="789" width="13.83203125" style="56" customWidth="1"/>
    <col min="790" max="790" width="5.83203125" style="56" customWidth="1"/>
    <col min="791" max="791" width="15.5" style="56" customWidth="1"/>
    <col min="792" max="1032" width="11.5" style="56"/>
    <col min="1033" max="1033" width="0.5" style="56" customWidth="1"/>
    <col min="1034" max="1034" width="3.1640625" style="56" customWidth="1"/>
    <col min="1035" max="1035" width="8.83203125" style="56" customWidth="1"/>
    <col min="1036" max="1036" width="14.83203125" style="56" customWidth="1"/>
    <col min="1037" max="1038" width="6.5" style="56" customWidth="1"/>
    <col min="1039" max="1039" width="14.83203125" style="56" customWidth="1"/>
    <col min="1040" max="1041" width="11.5" style="56" customWidth="1"/>
    <col min="1042" max="1042" width="6.1640625" style="56" customWidth="1"/>
    <col min="1043" max="1043" width="22.83203125" style="56" customWidth="1"/>
    <col min="1044" max="1044" width="11.5" style="56" customWidth="1"/>
    <col min="1045" max="1045" width="13.83203125" style="56" customWidth="1"/>
    <col min="1046" max="1046" width="5.83203125" style="56" customWidth="1"/>
    <col min="1047" max="1047" width="15.5" style="56" customWidth="1"/>
    <col min="1048" max="1288" width="11.5" style="56"/>
    <col min="1289" max="1289" width="0.5" style="56" customWidth="1"/>
    <col min="1290" max="1290" width="3.1640625" style="56" customWidth="1"/>
    <col min="1291" max="1291" width="8.83203125" style="56" customWidth="1"/>
    <col min="1292" max="1292" width="14.83203125" style="56" customWidth="1"/>
    <col min="1293" max="1294" width="6.5" style="56" customWidth="1"/>
    <col min="1295" max="1295" width="14.83203125" style="56" customWidth="1"/>
    <col min="1296" max="1297" width="11.5" style="56" customWidth="1"/>
    <col min="1298" max="1298" width="6.1640625" style="56" customWidth="1"/>
    <col min="1299" max="1299" width="22.83203125" style="56" customWidth="1"/>
    <col min="1300" max="1300" width="11.5" style="56" customWidth="1"/>
    <col min="1301" max="1301" width="13.83203125" style="56" customWidth="1"/>
    <col min="1302" max="1302" width="5.83203125" style="56" customWidth="1"/>
    <col min="1303" max="1303" width="15.5" style="56" customWidth="1"/>
    <col min="1304" max="1544" width="11.5" style="56"/>
    <col min="1545" max="1545" width="0.5" style="56" customWidth="1"/>
    <col min="1546" max="1546" width="3.1640625" style="56" customWidth="1"/>
    <col min="1547" max="1547" width="8.83203125" style="56" customWidth="1"/>
    <col min="1548" max="1548" width="14.83203125" style="56" customWidth="1"/>
    <col min="1549" max="1550" width="6.5" style="56" customWidth="1"/>
    <col min="1551" max="1551" width="14.83203125" style="56" customWidth="1"/>
    <col min="1552" max="1553" width="11.5" style="56" customWidth="1"/>
    <col min="1554" max="1554" width="6.1640625" style="56" customWidth="1"/>
    <col min="1555" max="1555" width="22.83203125" style="56" customWidth="1"/>
    <col min="1556" max="1556" width="11.5" style="56" customWidth="1"/>
    <col min="1557" max="1557" width="13.83203125" style="56" customWidth="1"/>
    <col min="1558" max="1558" width="5.83203125" style="56" customWidth="1"/>
    <col min="1559" max="1559" width="15.5" style="56" customWidth="1"/>
    <col min="1560" max="1800" width="11.5" style="56"/>
    <col min="1801" max="1801" width="0.5" style="56" customWidth="1"/>
    <col min="1802" max="1802" width="3.1640625" style="56" customWidth="1"/>
    <col min="1803" max="1803" width="8.83203125" style="56" customWidth="1"/>
    <col min="1804" max="1804" width="14.83203125" style="56" customWidth="1"/>
    <col min="1805" max="1806" width="6.5" style="56" customWidth="1"/>
    <col min="1807" max="1807" width="14.83203125" style="56" customWidth="1"/>
    <col min="1808" max="1809" width="11.5" style="56" customWidth="1"/>
    <col min="1810" max="1810" width="6.1640625" style="56" customWidth="1"/>
    <col min="1811" max="1811" width="22.83203125" style="56" customWidth="1"/>
    <col min="1812" max="1812" width="11.5" style="56" customWidth="1"/>
    <col min="1813" max="1813" width="13.83203125" style="56" customWidth="1"/>
    <col min="1814" max="1814" width="5.83203125" style="56" customWidth="1"/>
    <col min="1815" max="1815" width="15.5" style="56" customWidth="1"/>
    <col min="1816" max="2056" width="11.5" style="56"/>
    <col min="2057" max="2057" width="0.5" style="56" customWidth="1"/>
    <col min="2058" max="2058" width="3.1640625" style="56" customWidth="1"/>
    <col min="2059" max="2059" width="8.83203125" style="56" customWidth="1"/>
    <col min="2060" max="2060" width="14.83203125" style="56" customWidth="1"/>
    <col min="2061" max="2062" width="6.5" style="56" customWidth="1"/>
    <col min="2063" max="2063" width="14.83203125" style="56" customWidth="1"/>
    <col min="2064" max="2065" width="11.5" style="56" customWidth="1"/>
    <col min="2066" max="2066" width="6.1640625" style="56" customWidth="1"/>
    <col min="2067" max="2067" width="22.83203125" style="56" customWidth="1"/>
    <col min="2068" max="2068" width="11.5" style="56" customWidth="1"/>
    <col min="2069" max="2069" width="13.83203125" style="56" customWidth="1"/>
    <col min="2070" max="2070" width="5.83203125" style="56" customWidth="1"/>
    <col min="2071" max="2071" width="15.5" style="56" customWidth="1"/>
    <col min="2072" max="2312" width="11.5" style="56"/>
    <col min="2313" max="2313" width="0.5" style="56" customWidth="1"/>
    <col min="2314" max="2314" width="3.1640625" style="56" customWidth="1"/>
    <col min="2315" max="2315" width="8.83203125" style="56" customWidth="1"/>
    <col min="2316" max="2316" width="14.83203125" style="56" customWidth="1"/>
    <col min="2317" max="2318" width="6.5" style="56" customWidth="1"/>
    <col min="2319" max="2319" width="14.83203125" style="56" customWidth="1"/>
    <col min="2320" max="2321" width="11.5" style="56" customWidth="1"/>
    <col min="2322" max="2322" width="6.1640625" style="56" customWidth="1"/>
    <col min="2323" max="2323" width="22.83203125" style="56" customWidth="1"/>
    <col min="2324" max="2324" width="11.5" style="56" customWidth="1"/>
    <col min="2325" max="2325" width="13.83203125" style="56" customWidth="1"/>
    <col min="2326" max="2326" width="5.83203125" style="56" customWidth="1"/>
    <col min="2327" max="2327" width="15.5" style="56" customWidth="1"/>
    <col min="2328" max="2568" width="11.5" style="56"/>
    <col min="2569" max="2569" width="0.5" style="56" customWidth="1"/>
    <col min="2570" max="2570" width="3.1640625" style="56" customWidth="1"/>
    <col min="2571" max="2571" width="8.83203125" style="56" customWidth="1"/>
    <col min="2572" max="2572" width="14.83203125" style="56" customWidth="1"/>
    <col min="2573" max="2574" width="6.5" style="56" customWidth="1"/>
    <col min="2575" max="2575" width="14.83203125" style="56" customWidth="1"/>
    <col min="2576" max="2577" width="11.5" style="56" customWidth="1"/>
    <col min="2578" max="2578" width="6.1640625" style="56" customWidth="1"/>
    <col min="2579" max="2579" width="22.83203125" style="56" customWidth="1"/>
    <col min="2580" max="2580" width="11.5" style="56" customWidth="1"/>
    <col min="2581" max="2581" width="13.83203125" style="56" customWidth="1"/>
    <col min="2582" max="2582" width="5.83203125" style="56" customWidth="1"/>
    <col min="2583" max="2583" width="15.5" style="56" customWidth="1"/>
    <col min="2584" max="2824" width="11.5" style="56"/>
    <col min="2825" max="2825" width="0.5" style="56" customWidth="1"/>
    <col min="2826" max="2826" width="3.1640625" style="56" customWidth="1"/>
    <col min="2827" max="2827" width="8.83203125" style="56" customWidth="1"/>
    <col min="2828" max="2828" width="14.83203125" style="56" customWidth="1"/>
    <col min="2829" max="2830" width="6.5" style="56" customWidth="1"/>
    <col min="2831" max="2831" width="14.83203125" style="56" customWidth="1"/>
    <col min="2832" max="2833" width="11.5" style="56" customWidth="1"/>
    <col min="2834" max="2834" width="6.1640625" style="56" customWidth="1"/>
    <col min="2835" max="2835" width="22.83203125" style="56" customWidth="1"/>
    <col min="2836" max="2836" width="11.5" style="56" customWidth="1"/>
    <col min="2837" max="2837" width="13.83203125" style="56" customWidth="1"/>
    <col min="2838" max="2838" width="5.83203125" style="56" customWidth="1"/>
    <col min="2839" max="2839" width="15.5" style="56" customWidth="1"/>
    <col min="2840" max="3080" width="11.5" style="56"/>
    <col min="3081" max="3081" width="0.5" style="56" customWidth="1"/>
    <col min="3082" max="3082" width="3.1640625" style="56" customWidth="1"/>
    <col min="3083" max="3083" width="8.83203125" style="56" customWidth="1"/>
    <col min="3084" max="3084" width="14.83203125" style="56" customWidth="1"/>
    <col min="3085" max="3086" width="6.5" style="56" customWidth="1"/>
    <col min="3087" max="3087" width="14.83203125" style="56" customWidth="1"/>
    <col min="3088" max="3089" width="11.5" style="56" customWidth="1"/>
    <col min="3090" max="3090" width="6.1640625" style="56" customWidth="1"/>
    <col min="3091" max="3091" width="22.83203125" style="56" customWidth="1"/>
    <col min="3092" max="3092" width="11.5" style="56" customWidth="1"/>
    <col min="3093" max="3093" width="13.83203125" style="56" customWidth="1"/>
    <col min="3094" max="3094" width="5.83203125" style="56" customWidth="1"/>
    <col min="3095" max="3095" width="15.5" style="56" customWidth="1"/>
    <col min="3096" max="3336" width="11.5" style="56"/>
    <col min="3337" max="3337" width="0.5" style="56" customWidth="1"/>
    <col min="3338" max="3338" width="3.1640625" style="56" customWidth="1"/>
    <col min="3339" max="3339" width="8.83203125" style="56" customWidth="1"/>
    <col min="3340" max="3340" width="14.83203125" style="56" customWidth="1"/>
    <col min="3341" max="3342" width="6.5" style="56" customWidth="1"/>
    <col min="3343" max="3343" width="14.83203125" style="56" customWidth="1"/>
    <col min="3344" max="3345" width="11.5" style="56" customWidth="1"/>
    <col min="3346" max="3346" width="6.1640625" style="56" customWidth="1"/>
    <col min="3347" max="3347" width="22.83203125" style="56" customWidth="1"/>
    <col min="3348" max="3348" width="11.5" style="56" customWidth="1"/>
    <col min="3349" max="3349" width="13.83203125" style="56" customWidth="1"/>
    <col min="3350" max="3350" width="5.83203125" style="56" customWidth="1"/>
    <col min="3351" max="3351" width="15.5" style="56" customWidth="1"/>
    <col min="3352" max="3592" width="11.5" style="56"/>
    <col min="3593" max="3593" width="0.5" style="56" customWidth="1"/>
    <col min="3594" max="3594" width="3.1640625" style="56" customWidth="1"/>
    <col min="3595" max="3595" width="8.83203125" style="56" customWidth="1"/>
    <col min="3596" max="3596" width="14.83203125" style="56" customWidth="1"/>
    <col min="3597" max="3598" width="6.5" style="56" customWidth="1"/>
    <col min="3599" max="3599" width="14.83203125" style="56" customWidth="1"/>
    <col min="3600" max="3601" width="11.5" style="56" customWidth="1"/>
    <col min="3602" max="3602" width="6.1640625" style="56" customWidth="1"/>
    <col min="3603" max="3603" width="22.83203125" style="56" customWidth="1"/>
    <col min="3604" max="3604" width="11.5" style="56" customWidth="1"/>
    <col min="3605" max="3605" width="13.83203125" style="56" customWidth="1"/>
    <col min="3606" max="3606" width="5.83203125" style="56" customWidth="1"/>
    <col min="3607" max="3607" width="15.5" style="56" customWidth="1"/>
    <col min="3608" max="3848" width="11.5" style="56"/>
    <col min="3849" max="3849" width="0.5" style="56" customWidth="1"/>
    <col min="3850" max="3850" width="3.1640625" style="56" customWidth="1"/>
    <col min="3851" max="3851" width="8.83203125" style="56" customWidth="1"/>
    <col min="3852" max="3852" width="14.83203125" style="56" customWidth="1"/>
    <col min="3853" max="3854" width="6.5" style="56" customWidth="1"/>
    <col min="3855" max="3855" width="14.83203125" style="56" customWidth="1"/>
    <col min="3856" max="3857" width="11.5" style="56" customWidth="1"/>
    <col min="3858" max="3858" width="6.1640625" style="56" customWidth="1"/>
    <col min="3859" max="3859" width="22.83203125" style="56" customWidth="1"/>
    <col min="3860" max="3860" width="11.5" style="56" customWidth="1"/>
    <col min="3861" max="3861" width="13.83203125" style="56" customWidth="1"/>
    <col min="3862" max="3862" width="5.83203125" style="56" customWidth="1"/>
    <col min="3863" max="3863" width="15.5" style="56" customWidth="1"/>
    <col min="3864" max="4104" width="11.5" style="56"/>
    <col min="4105" max="4105" width="0.5" style="56" customWidth="1"/>
    <col min="4106" max="4106" width="3.1640625" style="56" customWidth="1"/>
    <col min="4107" max="4107" width="8.83203125" style="56" customWidth="1"/>
    <col min="4108" max="4108" width="14.83203125" style="56" customWidth="1"/>
    <col min="4109" max="4110" width="6.5" style="56" customWidth="1"/>
    <col min="4111" max="4111" width="14.83203125" style="56" customWidth="1"/>
    <col min="4112" max="4113" width="11.5" style="56" customWidth="1"/>
    <col min="4114" max="4114" width="6.1640625" style="56" customWidth="1"/>
    <col min="4115" max="4115" width="22.83203125" style="56" customWidth="1"/>
    <col min="4116" max="4116" width="11.5" style="56" customWidth="1"/>
    <col min="4117" max="4117" width="13.83203125" style="56" customWidth="1"/>
    <col min="4118" max="4118" width="5.83203125" style="56" customWidth="1"/>
    <col min="4119" max="4119" width="15.5" style="56" customWidth="1"/>
    <col min="4120" max="4360" width="11.5" style="56"/>
    <col min="4361" max="4361" width="0.5" style="56" customWidth="1"/>
    <col min="4362" max="4362" width="3.1640625" style="56" customWidth="1"/>
    <col min="4363" max="4363" width="8.83203125" style="56" customWidth="1"/>
    <col min="4364" max="4364" width="14.83203125" style="56" customWidth="1"/>
    <col min="4365" max="4366" width="6.5" style="56" customWidth="1"/>
    <col min="4367" max="4367" width="14.83203125" style="56" customWidth="1"/>
    <col min="4368" max="4369" width="11.5" style="56" customWidth="1"/>
    <col min="4370" max="4370" width="6.1640625" style="56" customWidth="1"/>
    <col min="4371" max="4371" width="22.83203125" style="56" customWidth="1"/>
    <col min="4372" max="4372" width="11.5" style="56" customWidth="1"/>
    <col min="4373" max="4373" width="13.83203125" style="56" customWidth="1"/>
    <col min="4374" max="4374" width="5.83203125" style="56" customWidth="1"/>
    <col min="4375" max="4375" width="15.5" style="56" customWidth="1"/>
    <col min="4376" max="4616" width="11.5" style="56"/>
    <col min="4617" max="4617" width="0.5" style="56" customWidth="1"/>
    <col min="4618" max="4618" width="3.1640625" style="56" customWidth="1"/>
    <col min="4619" max="4619" width="8.83203125" style="56" customWidth="1"/>
    <col min="4620" max="4620" width="14.83203125" style="56" customWidth="1"/>
    <col min="4621" max="4622" width="6.5" style="56" customWidth="1"/>
    <col min="4623" max="4623" width="14.83203125" style="56" customWidth="1"/>
    <col min="4624" max="4625" width="11.5" style="56" customWidth="1"/>
    <col min="4626" max="4626" width="6.1640625" style="56" customWidth="1"/>
    <col min="4627" max="4627" width="22.83203125" style="56" customWidth="1"/>
    <col min="4628" max="4628" width="11.5" style="56" customWidth="1"/>
    <col min="4629" max="4629" width="13.83203125" style="56" customWidth="1"/>
    <col min="4630" max="4630" width="5.83203125" style="56" customWidth="1"/>
    <col min="4631" max="4631" width="15.5" style="56" customWidth="1"/>
    <col min="4632" max="4872" width="11.5" style="56"/>
    <col min="4873" max="4873" width="0.5" style="56" customWidth="1"/>
    <col min="4874" max="4874" width="3.1640625" style="56" customWidth="1"/>
    <col min="4875" max="4875" width="8.83203125" style="56" customWidth="1"/>
    <col min="4876" max="4876" width="14.83203125" style="56" customWidth="1"/>
    <col min="4877" max="4878" width="6.5" style="56" customWidth="1"/>
    <col min="4879" max="4879" width="14.83203125" style="56" customWidth="1"/>
    <col min="4880" max="4881" width="11.5" style="56" customWidth="1"/>
    <col min="4882" max="4882" width="6.1640625" style="56" customWidth="1"/>
    <col min="4883" max="4883" width="22.83203125" style="56" customWidth="1"/>
    <col min="4884" max="4884" width="11.5" style="56" customWidth="1"/>
    <col min="4885" max="4885" width="13.83203125" style="56" customWidth="1"/>
    <col min="4886" max="4886" width="5.83203125" style="56" customWidth="1"/>
    <col min="4887" max="4887" width="15.5" style="56" customWidth="1"/>
    <col min="4888" max="5128" width="11.5" style="56"/>
    <col min="5129" max="5129" width="0.5" style="56" customWidth="1"/>
    <col min="5130" max="5130" width="3.1640625" style="56" customWidth="1"/>
    <col min="5131" max="5131" width="8.83203125" style="56" customWidth="1"/>
    <col min="5132" max="5132" width="14.83203125" style="56" customWidth="1"/>
    <col min="5133" max="5134" width="6.5" style="56" customWidth="1"/>
    <col min="5135" max="5135" width="14.83203125" style="56" customWidth="1"/>
    <col min="5136" max="5137" width="11.5" style="56" customWidth="1"/>
    <col min="5138" max="5138" width="6.1640625" style="56" customWidth="1"/>
    <col min="5139" max="5139" width="22.83203125" style="56" customWidth="1"/>
    <col min="5140" max="5140" width="11.5" style="56" customWidth="1"/>
    <col min="5141" max="5141" width="13.83203125" style="56" customWidth="1"/>
    <col min="5142" max="5142" width="5.83203125" style="56" customWidth="1"/>
    <col min="5143" max="5143" width="15.5" style="56" customWidth="1"/>
    <col min="5144" max="5384" width="11.5" style="56"/>
    <col min="5385" max="5385" width="0.5" style="56" customWidth="1"/>
    <col min="5386" max="5386" width="3.1640625" style="56" customWidth="1"/>
    <col min="5387" max="5387" width="8.83203125" style="56" customWidth="1"/>
    <col min="5388" max="5388" width="14.83203125" style="56" customWidth="1"/>
    <col min="5389" max="5390" width="6.5" style="56" customWidth="1"/>
    <col min="5391" max="5391" width="14.83203125" style="56" customWidth="1"/>
    <col min="5392" max="5393" width="11.5" style="56" customWidth="1"/>
    <col min="5394" max="5394" width="6.1640625" style="56" customWidth="1"/>
    <col min="5395" max="5395" width="22.83203125" style="56" customWidth="1"/>
    <col min="5396" max="5396" width="11.5" style="56" customWidth="1"/>
    <col min="5397" max="5397" width="13.83203125" style="56" customWidth="1"/>
    <col min="5398" max="5398" width="5.83203125" style="56" customWidth="1"/>
    <col min="5399" max="5399" width="15.5" style="56" customWidth="1"/>
    <col min="5400" max="5640" width="11.5" style="56"/>
    <col min="5641" max="5641" width="0.5" style="56" customWidth="1"/>
    <col min="5642" max="5642" width="3.1640625" style="56" customWidth="1"/>
    <col min="5643" max="5643" width="8.83203125" style="56" customWidth="1"/>
    <col min="5644" max="5644" width="14.83203125" style="56" customWidth="1"/>
    <col min="5645" max="5646" width="6.5" style="56" customWidth="1"/>
    <col min="5647" max="5647" width="14.83203125" style="56" customWidth="1"/>
    <col min="5648" max="5649" width="11.5" style="56" customWidth="1"/>
    <col min="5650" max="5650" width="6.1640625" style="56" customWidth="1"/>
    <col min="5651" max="5651" width="22.83203125" style="56" customWidth="1"/>
    <col min="5652" max="5652" width="11.5" style="56" customWidth="1"/>
    <col min="5653" max="5653" width="13.83203125" style="56" customWidth="1"/>
    <col min="5654" max="5654" width="5.83203125" style="56" customWidth="1"/>
    <col min="5655" max="5655" width="15.5" style="56" customWidth="1"/>
    <col min="5656" max="5896" width="11.5" style="56"/>
    <col min="5897" max="5897" width="0.5" style="56" customWidth="1"/>
    <col min="5898" max="5898" width="3.1640625" style="56" customWidth="1"/>
    <col min="5899" max="5899" width="8.83203125" style="56" customWidth="1"/>
    <col min="5900" max="5900" width="14.83203125" style="56" customWidth="1"/>
    <col min="5901" max="5902" width="6.5" style="56" customWidth="1"/>
    <col min="5903" max="5903" width="14.83203125" style="56" customWidth="1"/>
    <col min="5904" max="5905" width="11.5" style="56" customWidth="1"/>
    <col min="5906" max="5906" width="6.1640625" style="56" customWidth="1"/>
    <col min="5907" max="5907" width="22.83203125" style="56" customWidth="1"/>
    <col min="5908" max="5908" width="11.5" style="56" customWidth="1"/>
    <col min="5909" max="5909" width="13.83203125" style="56" customWidth="1"/>
    <col min="5910" max="5910" width="5.83203125" style="56" customWidth="1"/>
    <col min="5911" max="5911" width="15.5" style="56" customWidth="1"/>
    <col min="5912" max="6152" width="11.5" style="56"/>
    <col min="6153" max="6153" width="0.5" style="56" customWidth="1"/>
    <col min="6154" max="6154" width="3.1640625" style="56" customWidth="1"/>
    <col min="6155" max="6155" width="8.83203125" style="56" customWidth="1"/>
    <col min="6156" max="6156" width="14.83203125" style="56" customWidth="1"/>
    <col min="6157" max="6158" width="6.5" style="56" customWidth="1"/>
    <col min="6159" max="6159" width="14.83203125" style="56" customWidth="1"/>
    <col min="6160" max="6161" width="11.5" style="56" customWidth="1"/>
    <col min="6162" max="6162" width="6.1640625" style="56" customWidth="1"/>
    <col min="6163" max="6163" width="22.83203125" style="56" customWidth="1"/>
    <col min="6164" max="6164" width="11.5" style="56" customWidth="1"/>
    <col min="6165" max="6165" width="13.83203125" style="56" customWidth="1"/>
    <col min="6166" max="6166" width="5.83203125" style="56" customWidth="1"/>
    <col min="6167" max="6167" width="15.5" style="56" customWidth="1"/>
    <col min="6168" max="6408" width="11.5" style="56"/>
    <col min="6409" max="6409" width="0.5" style="56" customWidth="1"/>
    <col min="6410" max="6410" width="3.1640625" style="56" customWidth="1"/>
    <col min="6411" max="6411" width="8.83203125" style="56" customWidth="1"/>
    <col min="6412" max="6412" width="14.83203125" style="56" customWidth="1"/>
    <col min="6413" max="6414" width="6.5" style="56" customWidth="1"/>
    <col min="6415" max="6415" width="14.83203125" style="56" customWidth="1"/>
    <col min="6416" max="6417" width="11.5" style="56" customWidth="1"/>
    <col min="6418" max="6418" width="6.1640625" style="56" customWidth="1"/>
    <col min="6419" max="6419" width="22.83203125" style="56" customWidth="1"/>
    <col min="6420" max="6420" width="11.5" style="56" customWidth="1"/>
    <col min="6421" max="6421" width="13.83203125" style="56" customWidth="1"/>
    <col min="6422" max="6422" width="5.83203125" style="56" customWidth="1"/>
    <col min="6423" max="6423" width="15.5" style="56" customWidth="1"/>
    <col min="6424" max="6664" width="11.5" style="56"/>
    <col min="6665" max="6665" width="0.5" style="56" customWidth="1"/>
    <col min="6666" max="6666" width="3.1640625" style="56" customWidth="1"/>
    <col min="6667" max="6667" width="8.83203125" style="56" customWidth="1"/>
    <col min="6668" max="6668" width="14.83203125" style="56" customWidth="1"/>
    <col min="6669" max="6670" width="6.5" style="56" customWidth="1"/>
    <col min="6671" max="6671" width="14.83203125" style="56" customWidth="1"/>
    <col min="6672" max="6673" width="11.5" style="56" customWidth="1"/>
    <col min="6674" max="6674" width="6.1640625" style="56" customWidth="1"/>
    <col min="6675" max="6675" width="22.83203125" style="56" customWidth="1"/>
    <col min="6676" max="6676" width="11.5" style="56" customWidth="1"/>
    <col min="6677" max="6677" width="13.83203125" style="56" customWidth="1"/>
    <col min="6678" max="6678" width="5.83203125" style="56" customWidth="1"/>
    <col min="6679" max="6679" width="15.5" style="56" customWidth="1"/>
    <col min="6680" max="6920" width="11.5" style="56"/>
    <col min="6921" max="6921" width="0.5" style="56" customWidth="1"/>
    <col min="6922" max="6922" width="3.1640625" style="56" customWidth="1"/>
    <col min="6923" max="6923" width="8.83203125" style="56" customWidth="1"/>
    <col min="6924" max="6924" width="14.83203125" style="56" customWidth="1"/>
    <col min="6925" max="6926" width="6.5" style="56" customWidth="1"/>
    <col min="6927" max="6927" width="14.83203125" style="56" customWidth="1"/>
    <col min="6928" max="6929" width="11.5" style="56" customWidth="1"/>
    <col min="6930" max="6930" width="6.1640625" style="56" customWidth="1"/>
    <col min="6931" max="6931" width="22.83203125" style="56" customWidth="1"/>
    <col min="6932" max="6932" width="11.5" style="56" customWidth="1"/>
    <col min="6933" max="6933" width="13.83203125" style="56" customWidth="1"/>
    <col min="6934" max="6934" width="5.83203125" style="56" customWidth="1"/>
    <col min="6935" max="6935" width="15.5" style="56" customWidth="1"/>
    <col min="6936" max="7176" width="11.5" style="56"/>
    <col min="7177" max="7177" width="0.5" style="56" customWidth="1"/>
    <col min="7178" max="7178" width="3.1640625" style="56" customWidth="1"/>
    <col min="7179" max="7179" width="8.83203125" style="56" customWidth="1"/>
    <col min="7180" max="7180" width="14.83203125" style="56" customWidth="1"/>
    <col min="7181" max="7182" width="6.5" style="56" customWidth="1"/>
    <col min="7183" max="7183" width="14.83203125" style="56" customWidth="1"/>
    <col min="7184" max="7185" width="11.5" style="56" customWidth="1"/>
    <col min="7186" max="7186" width="6.1640625" style="56" customWidth="1"/>
    <col min="7187" max="7187" width="22.83203125" style="56" customWidth="1"/>
    <col min="7188" max="7188" width="11.5" style="56" customWidth="1"/>
    <col min="7189" max="7189" width="13.83203125" style="56" customWidth="1"/>
    <col min="7190" max="7190" width="5.83203125" style="56" customWidth="1"/>
    <col min="7191" max="7191" width="15.5" style="56" customWidth="1"/>
    <col min="7192" max="7432" width="11.5" style="56"/>
    <col min="7433" max="7433" width="0.5" style="56" customWidth="1"/>
    <col min="7434" max="7434" width="3.1640625" style="56" customWidth="1"/>
    <col min="7435" max="7435" width="8.83203125" style="56" customWidth="1"/>
    <col min="7436" max="7436" width="14.83203125" style="56" customWidth="1"/>
    <col min="7437" max="7438" width="6.5" style="56" customWidth="1"/>
    <col min="7439" max="7439" width="14.83203125" style="56" customWidth="1"/>
    <col min="7440" max="7441" width="11.5" style="56" customWidth="1"/>
    <col min="7442" max="7442" width="6.1640625" style="56" customWidth="1"/>
    <col min="7443" max="7443" width="22.83203125" style="56" customWidth="1"/>
    <col min="7444" max="7444" width="11.5" style="56" customWidth="1"/>
    <col min="7445" max="7445" width="13.83203125" style="56" customWidth="1"/>
    <col min="7446" max="7446" width="5.83203125" style="56" customWidth="1"/>
    <col min="7447" max="7447" width="15.5" style="56" customWidth="1"/>
    <col min="7448" max="7688" width="11.5" style="56"/>
    <col min="7689" max="7689" width="0.5" style="56" customWidth="1"/>
    <col min="7690" max="7690" width="3.1640625" style="56" customWidth="1"/>
    <col min="7691" max="7691" width="8.83203125" style="56" customWidth="1"/>
    <col min="7692" max="7692" width="14.83203125" style="56" customWidth="1"/>
    <col min="7693" max="7694" width="6.5" style="56" customWidth="1"/>
    <col min="7695" max="7695" width="14.83203125" style="56" customWidth="1"/>
    <col min="7696" max="7697" width="11.5" style="56" customWidth="1"/>
    <col min="7698" max="7698" width="6.1640625" style="56" customWidth="1"/>
    <col min="7699" max="7699" width="22.83203125" style="56" customWidth="1"/>
    <col min="7700" max="7700" width="11.5" style="56" customWidth="1"/>
    <col min="7701" max="7701" width="13.83203125" style="56" customWidth="1"/>
    <col min="7702" max="7702" width="5.83203125" style="56" customWidth="1"/>
    <col min="7703" max="7703" width="15.5" style="56" customWidth="1"/>
    <col min="7704" max="7944" width="11.5" style="56"/>
    <col min="7945" max="7945" width="0.5" style="56" customWidth="1"/>
    <col min="7946" max="7946" width="3.1640625" style="56" customWidth="1"/>
    <col min="7947" max="7947" width="8.83203125" style="56" customWidth="1"/>
    <col min="7948" max="7948" width="14.83203125" style="56" customWidth="1"/>
    <col min="7949" max="7950" width="6.5" style="56" customWidth="1"/>
    <col min="7951" max="7951" width="14.83203125" style="56" customWidth="1"/>
    <col min="7952" max="7953" width="11.5" style="56" customWidth="1"/>
    <col min="7954" max="7954" width="6.1640625" style="56" customWidth="1"/>
    <col min="7955" max="7955" width="22.83203125" style="56" customWidth="1"/>
    <col min="7956" max="7956" width="11.5" style="56" customWidth="1"/>
    <col min="7957" max="7957" width="13.83203125" style="56" customWidth="1"/>
    <col min="7958" max="7958" width="5.83203125" style="56" customWidth="1"/>
    <col min="7959" max="7959" width="15.5" style="56" customWidth="1"/>
    <col min="7960" max="8200" width="11.5" style="56"/>
    <col min="8201" max="8201" width="0.5" style="56" customWidth="1"/>
    <col min="8202" max="8202" width="3.1640625" style="56" customWidth="1"/>
    <col min="8203" max="8203" width="8.83203125" style="56" customWidth="1"/>
    <col min="8204" max="8204" width="14.83203125" style="56" customWidth="1"/>
    <col min="8205" max="8206" width="6.5" style="56" customWidth="1"/>
    <col min="8207" max="8207" width="14.83203125" style="56" customWidth="1"/>
    <col min="8208" max="8209" width="11.5" style="56" customWidth="1"/>
    <col min="8210" max="8210" width="6.1640625" style="56" customWidth="1"/>
    <col min="8211" max="8211" width="22.83203125" style="56" customWidth="1"/>
    <col min="8212" max="8212" width="11.5" style="56" customWidth="1"/>
    <col min="8213" max="8213" width="13.83203125" style="56" customWidth="1"/>
    <col min="8214" max="8214" width="5.83203125" style="56" customWidth="1"/>
    <col min="8215" max="8215" width="15.5" style="56" customWidth="1"/>
    <col min="8216" max="8456" width="11.5" style="56"/>
    <col min="8457" max="8457" width="0.5" style="56" customWidth="1"/>
    <col min="8458" max="8458" width="3.1640625" style="56" customWidth="1"/>
    <col min="8459" max="8459" width="8.83203125" style="56" customWidth="1"/>
    <col min="8460" max="8460" width="14.83203125" style="56" customWidth="1"/>
    <col min="8461" max="8462" width="6.5" style="56" customWidth="1"/>
    <col min="8463" max="8463" width="14.83203125" style="56" customWidth="1"/>
    <col min="8464" max="8465" width="11.5" style="56" customWidth="1"/>
    <col min="8466" max="8466" width="6.1640625" style="56" customWidth="1"/>
    <col min="8467" max="8467" width="22.83203125" style="56" customWidth="1"/>
    <col min="8468" max="8468" width="11.5" style="56" customWidth="1"/>
    <col min="8469" max="8469" width="13.83203125" style="56" customWidth="1"/>
    <col min="8470" max="8470" width="5.83203125" style="56" customWidth="1"/>
    <col min="8471" max="8471" width="15.5" style="56" customWidth="1"/>
    <col min="8472" max="8712" width="11.5" style="56"/>
    <col min="8713" max="8713" width="0.5" style="56" customWidth="1"/>
    <col min="8714" max="8714" width="3.1640625" style="56" customWidth="1"/>
    <col min="8715" max="8715" width="8.83203125" style="56" customWidth="1"/>
    <col min="8716" max="8716" width="14.83203125" style="56" customWidth="1"/>
    <col min="8717" max="8718" width="6.5" style="56" customWidth="1"/>
    <col min="8719" max="8719" width="14.83203125" style="56" customWidth="1"/>
    <col min="8720" max="8721" width="11.5" style="56" customWidth="1"/>
    <col min="8722" max="8722" width="6.1640625" style="56" customWidth="1"/>
    <col min="8723" max="8723" width="22.83203125" style="56" customWidth="1"/>
    <col min="8724" max="8724" width="11.5" style="56" customWidth="1"/>
    <col min="8725" max="8725" width="13.83203125" style="56" customWidth="1"/>
    <col min="8726" max="8726" width="5.83203125" style="56" customWidth="1"/>
    <col min="8727" max="8727" width="15.5" style="56" customWidth="1"/>
    <col min="8728" max="8968" width="11.5" style="56"/>
    <col min="8969" max="8969" width="0.5" style="56" customWidth="1"/>
    <col min="8970" max="8970" width="3.1640625" style="56" customWidth="1"/>
    <col min="8971" max="8971" width="8.83203125" style="56" customWidth="1"/>
    <col min="8972" max="8972" width="14.83203125" style="56" customWidth="1"/>
    <col min="8973" max="8974" width="6.5" style="56" customWidth="1"/>
    <col min="8975" max="8975" width="14.83203125" style="56" customWidth="1"/>
    <col min="8976" max="8977" width="11.5" style="56" customWidth="1"/>
    <col min="8978" max="8978" width="6.1640625" style="56" customWidth="1"/>
    <col min="8979" max="8979" width="22.83203125" style="56" customWidth="1"/>
    <col min="8980" max="8980" width="11.5" style="56" customWidth="1"/>
    <col min="8981" max="8981" width="13.83203125" style="56" customWidth="1"/>
    <col min="8982" max="8982" width="5.83203125" style="56" customWidth="1"/>
    <col min="8983" max="8983" width="15.5" style="56" customWidth="1"/>
    <col min="8984" max="9224" width="11.5" style="56"/>
    <col min="9225" max="9225" width="0.5" style="56" customWidth="1"/>
    <col min="9226" max="9226" width="3.1640625" style="56" customWidth="1"/>
    <col min="9227" max="9227" width="8.83203125" style="56" customWidth="1"/>
    <col min="9228" max="9228" width="14.83203125" style="56" customWidth="1"/>
    <col min="9229" max="9230" width="6.5" style="56" customWidth="1"/>
    <col min="9231" max="9231" width="14.83203125" style="56" customWidth="1"/>
    <col min="9232" max="9233" width="11.5" style="56" customWidth="1"/>
    <col min="9234" max="9234" width="6.1640625" style="56" customWidth="1"/>
    <col min="9235" max="9235" width="22.83203125" style="56" customWidth="1"/>
    <col min="9236" max="9236" width="11.5" style="56" customWidth="1"/>
    <col min="9237" max="9237" width="13.83203125" style="56" customWidth="1"/>
    <col min="9238" max="9238" width="5.83203125" style="56" customWidth="1"/>
    <col min="9239" max="9239" width="15.5" style="56" customWidth="1"/>
    <col min="9240" max="9480" width="11.5" style="56"/>
    <col min="9481" max="9481" width="0.5" style="56" customWidth="1"/>
    <col min="9482" max="9482" width="3.1640625" style="56" customWidth="1"/>
    <col min="9483" max="9483" width="8.83203125" style="56" customWidth="1"/>
    <col min="9484" max="9484" width="14.83203125" style="56" customWidth="1"/>
    <col min="9485" max="9486" width="6.5" style="56" customWidth="1"/>
    <col min="9487" max="9487" width="14.83203125" style="56" customWidth="1"/>
    <col min="9488" max="9489" width="11.5" style="56" customWidth="1"/>
    <col min="9490" max="9490" width="6.1640625" style="56" customWidth="1"/>
    <col min="9491" max="9491" width="22.83203125" style="56" customWidth="1"/>
    <col min="9492" max="9492" width="11.5" style="56" customWidth="1"/>
    <col min="9493" max="9493" width="13.83203125" style="56" customWidth="1"/>
    <col min="9494" max="9494" width="5.83203125" style="56" customWidth="1"/>
    <col min="9495" max="9495" width="15.5" style="56" customWidth="1"/>
    <col min="9496" max="9736" width="11.5" style="56"/>
    <col min="9737" max="9737" width="0.5" style="56" customWidth="1"/>
    <col min="9738" max="9738" width="3.1640625" style="56" customWidth="1"/>
    <col min="9739" max="9739" width="8.83203125" style="56" customWidth="1"/>
    <col min="9740" max="9740" width="14.83203125" style="56" customWidth="1"/>
    <col min="9741" max="9742" width="6.5" style="56" customWidth="1"/>
    <col min="9743" max="9743" width="14.83203125" style="56" customWidth="1"/>
    <col min="9744" max="9745" width="11.5" style="56" customWidth="1"/>
    <col min="9746" max="9746" width="6.1640625" style="56" customWidth="1"/>
    <col min="9747" max="9747" width="22.83203125" style="56" customWidth="1"/>
    <col min="9748" max="9748" width="11.5" style="56" customWidth="1"/>
    <col min="9749" max="9749" width="13.83203125" style="56" customWidth="1"/>
    <col min="9750" max="9750" width="5.83203125" style="56" customWidth="1"/>
    <col min="9751" max="9751" width="15.5" style="56" customWidth="1"/>
    <col min="9752" max="9992" width="11.5" style="56"/>
    <col min="9993" max="9993" width="0.5" style="56" customWidth="1"/>
    <col min="9994" max="9994" width="3.1640625" style="56" customWidth="1"/>
    <col min="9995" max="9995" width="8.83203125" style="56" customWidth="1"/>
    <col min="9996" max="9996" width="14.83203125" style="56" customWidth="1"/>
    <col min="9997" max="9998" width="6.5" style="56" customWidth="1"/>
    <col min="9999" max="9999" width="14.83203125" style="56" customWidth="1"/>
    <col min="10000" max="10001" width="11.5" style="56" customWidth="1"/>
    <col min="10002" max="10002" width="6.1640625" style="56" customWidth="1"/>
    <col min="10003" max="10003" width="22.83203125" style="56" customWidth="1"/>
    <col min="10004" max="10004" width="11.5" style="56" customWidth="1"/>
    <col min="10005" max="10005" width="13.83203125" style="56" customWidth="1"/>
    <col min="10006" max="10006" width="5.83203125" style="56" customWidth="1"/>
    <col min="10007" max="10007" width="15.5" style="56" customWidth="1"/>
    <col min="10008" max="10248" width="11.5" style="56"/>
    <col min="10249" max="10249" width="0.5" style="56" customWidth="1"/>
    <col min="10250" max="10250" width="3.1640625" style="56" customWidth="1"/>
    <col min="10251" max="10251" width="8.83203125" style="56" customWidth="1"/>
    <col min="10252" max="10252" width="14.83203125" style="56" customWidth="1"/>
    <col min="10253" max="10254" width="6.5" style="56" customWidth="1"/>
    <col min="10255" max="10255" width="14.83203125" style="56" customWidth="1"/>
    <col min="10256" max="10257" width="11.5" style="56" customWidth="1"/>
    <col min="10258" max="10258" width="6.1640625" style="56" customWidth="1"/>
    <col min="10259" max="10259" width="22.83203125" style="56" customWidth="1"/>
    <col min="10260" max="10260" width="11.5" style="56" customWidth="1"/>
    <col min="10261" max="10261" width="13.83203125" style="56" customWidth="1"/>
    <col min="10262" max="10262" width="5.83203125" style="56" customWidth="1"/>
    <col min="10263" max="10263" width="15.5" style="56" customWidth="1"/>
    <col min="10264" max="10504" width="11.5" style="56"/>
    <col min="10505" max="10505" width="0.5" style="56" customWidth="1"/>
    <col min="10506" max="10506" width="3.1640625" style="56" customWidth="1"/>
    <col min="10507" max="10507" width="8.83203125" style="56" customWidth="1"/>
    <col min="10508" max="10508" width="14.83203125" style="56" customWidth="1"/>
    <col min="10509" max="10510" width="6.5" style="56" customWidth="1"/>
    <col min="10511" max="10511" width="14.83203125" style="56" customWidth="1"/>
    <col min="10512" max="10513" width="11.5" style="56" customWidth="1"/>
    <col min="10514" max="10514" width="6.1640625" style="56" customWidth="1"/>
    <col min="10515" max="10515" width="22.83203125" style="56" customWidth="1"/>
    <col min="10516" max="10516" width="11.5" style="56" customWidth="1"/>
    <col min="10517" max="10517" width="13.83203125" style="56" customWidth="1"/>
    <col min="10518" max="10518" width="5.83203125" style="56" customWidth="1"/>
    <col min="10519" max="10519" width="15.5" style="56" customWidth="1"/>
    <col min="10520" max="10760" width="11.5" style="56"/>
    <col min="10761" max="10761" width="0.5" style="56" customWidth="1"/>
    <col min="10762" max="10762" width="3.1640625" style="56" customWidth="1"/>
    <col min="10763" max="10763" width="8.83203125" style="56" customWidth="1"/>
    <col min="10764" max="10764" width="14.83203125" style="56" customWidth="1"/>
    <col min="10765" max="10766" width="6.5" style="56" customWidth="1"/>
    <col min="10767" max="10767" width="14.83203125" style="56" customWidth="1"/>
    <col min="10768" max="10769" width="11.5" style="56" customWidth="1"/>
    <col min="10770" max="10770" width="6.1640625" style="56" customWidth="1"/>
    <col min="10771" max="10771" width="22.83203125" style="56" customWidth="1"/>
    <col min="10772" max="10772" width="11.5" style="56" customWidth="1"/>
    <col min="10773" max="10773" width="13.83203125" style="56" customWidth="1"/>
    <col min="10774" max="10774" width="5.83203125" style="56" customWidth="1"/>
    <col min="10775" max="10775" width="15.5" style="56" customWidth="1"/>
    <col min="10776" max="11016" width="11.5" style="56"/>
    <col min="11017" max="11017" width="0.5" style="56" customWidth="1"/>
    <col min="11018" max="11018" width="3.1640625" style="56" customWidth="1"/>
    <col min="11019" max="11019" width="8.83203125" style="56" customWidth="1"/>
    <col min="11020" max="11020" width="14.83203125" style="56" customWidth="1"/>
    <col min="11021" max="11022" width="6.5" style="56" customWidth="1"/>
    <col min="11023" max="11023" width="14.83203125" style="56" customWidth="1"/>
    <col min="11024" max="11025" width="11.5" style="56" customWidth="1"/>
    <col min="11026" max="11026" width="6.1640625" style="56" customWidth="1"/>
    <col min="11027" max="11027" width="22.83203125" style="56" customWidth="1"/>
    <col min="11028" max="11028" width="11.5" style="56" customWidth="1"/>
    <col min="11029" max="11029" width="13.83203125" style="56" customWidth="1"/>
    <col min="11030" max="11030" width="5.83203125" style="56" customWidth="1"/>
    <col min="11031" max="11031" width="15.5" style="56" customWidth="1"/>
    <col min="11032" max="11272" width="11.5" style="56"/>
    <col min="11273" max="11273" width="0.5" style="56" customWidth="1"/>
    <col min="11274" max="11274" width="3.1640625" style="56" customWidth="1"/>
    <col min="11275" max="11275" width="8.83203125" style="56" customWidth="1"/>
    <col min="11276" max="11276" width="14.83203125" style="56" customWidth="1"/>
    <col min="11277" max="11278" width="6.5" style="56" customWidth="1"/>
    <col min="11279" max="11279" width="14.83203125" style="56" customWidth="1"/>
    <col min="11280" max="11281" width="11.5" style="56" customWidth="1"/>
    <col min="11282" max="11282" width="6.1640625" style="56" customWidth="1"/>
    <col min="11283" max="11283" width="22.83203125" style="56" customWidth="1"/>
    <col min="11284" max="11284" width="11.5" style="56" customWidth="1"/>
    <col min="11285" max="11285" width="13.83203125" style="56" customWidth="1"/>
    <col min="11286" max="11286" width="5.83203125" style="56" customWidth="1"/>
    <col min="11287" max="11287" width="15.5" style="56" customWidth="1"/>
    <col min="11288" max="11528" width="11.5" style="56"/>
    <col min="11529" max="11529" width="0.5" style="56" customWidth="1"/>
    <col min="11530" max="11530" width="3.1640625" style="56" customWidth="1"/>
    <col min="11531" max="11531" width="8.83203125" style="56" customWidth="1"/>
    <col min="11532" max="11532" width="14.83203125" style="56" customWidth="1"/>
    <col min="11533" max="11534" width="6.5" style="56" customWidth="1"/>
    <col min="11535" max="11535" width="14.83203125" style="56" customWidth="1"/>
    <col min="11536" max="11537" width="11.5" style="56" customWidth="1"/>
    <col min="11538" max="11538" width="6.1640625" style="56" customWidth="1"/>
    <col min="11539" max="11539" width="22.83203125" style="56" customWidth="1"/>
    <col min="11540" max="11540" width="11.5" style="56" customWidth="1"/>
    <col min="11541" max="11541" width="13.83203125" style="56" customWidth="1"/>
    <col min="11542" max="11542" width="5.83203125" style="56" customWidth="1"/>
    <col min="11543" max="11543" width="15.5" style="56" customWidth="1"/>
    <col min="11544" max="11784" width="11.5" style="56"/>
    <col min="11785" max="11785" width="0.5" style="56" customWidth="1"/>
    <col min="11786" max="11786" width="3.1640625" style="56" customWidth="1"/>
    <col min="11787" max="11787" width="8.83203125" style="56" customWidth="1"/>
    <col min="11788" max="11788" width="14.83203125" style="56" customWidth="1"/>
    <col min="11789" max="11790" width="6.5" style="56" customWidth="1"/>
    <col min="11791" max="11791" width="14.83203125" style="56" customWidth="1"/>
    <col min="11792" max="11793" width="11.5" style="56" customWidth="1"/>
    <col min="11794" max="11794" width="6.1640625" style="56" customWidth="1"/>
    <col min="11795" max="11795" width="22.83203125" style="56" customWidth="1"/>
    <col min="11796" max="11796" width="11.5" style="56" customWidth="1"/>
    <col min="11797" max="11797" width="13.83203125" style="56" customWidth="1"/>
    <col min="11798" max="11798" width="5.83203125" style="56" customWidth="1"/>
    <col min="11799" max="11799" width="15.5" style="56" customWidth="1"/>
    <col min="11800" max="12040" width="11.5" style="56"/>
    <col min="12041" max="12041" width="0.5" style="56" customWidth="1"/>
    <col min="12042" max="12042" width="3.1640625" style="56" customWidth="1"/>
    <col min="12043" max="12043" width="8.83203125" style="56" customWidth="1"/>
    <col min="12044" max="12044" width="14.83203125" style="56" customWidth="1"/>
    <col min="12045" max="12046" width="6.5" style="56" customWidth="1"/>
    <col min="12047" max="12047" width="14.83203125" style="56" customWidth="1"/>
    <col min="12048" max="12049" width="11.5" style="56" customWidth="1"/>
    <col min="12050" max="12050" width="6.1640625" style="56" customWidth="1"/>
    <col min="12051" max="12051" width="22.83203125" style="56" customWidth="1"/>
    <col min="12052" max="12052" width="11.5" style="56" customWidth="1"/>
    <col min="12053" max="12053" width="13.83203125" style="56" customWidth="1"/>
    <col min="12054" max="12054" width="5.83203125" style="56" customWidth="1"/>
    <col min="12055" max="12055" width="15.5" style="56" customWidth="1"/>
    <col min="12056" max="12296" width="11.5" style="56"/>
    <col min="12297" max="12297" width="0.5" style="56" customWidth="1"/>
    <col min="12298" max="12298" width="3.1640625" style="56" customWidth="1"/>
    <col min="12299" max="12299" width="8.83203125" style="56" customWidth="1"/>
    <col min="12300" max="12300" width="14.83203125" style="56" customWidth="1"/>
    <col min="12301" max="12302" width="6.5" style="56" customWidth="1"/>
    <col min="12303" max="12303" width="14.83203125" style="56" customWidth="1"/>
    <col min="12304" max="12305" width="11.5" style="56" customWidth="1"/>
    <col min="12306" max="12306" width="6.1640625" style="56" customWidth="1"/>
    <col min="12307" max="12307" width="22.83203125" style="56" customWidth="1"/>
    <col min="12308" max="12308" width="11.5" style="56" customWidth="1"/>
    <col min="12309" max="12309" width="13.83203125" style="56" customWidth="1"/>
    <col min="12310" max="12310" width="5.83203125" style="56" customWidth="1"/>
    <col min="12311" max="12311" width="15.5" style="56" customWidth="1"/>
    <col min="12312" max="12552" width="11.5" style="56"/>
    <col min="12553" max="12553" width="0.5" style="56" customWidth="1"/>
    <col min="12554" max="12554" width="3.1640625" style="56" customWidth="1"/>
    <col min="12555" max="12555" width="8.83203125" style="56" customWidth="1"/>
    <col min="12556" max="12556" width="14.83203125" style="56" customWidth="1"/>
    <col min="12557" max="12558" width="6.5" style="56" customWidth="1"/>
    <col min="12559" max="12559" width="14.83203125" style="56" customWidth="1"/>
    <col min="12560" max="12561" width="11.5" style="56" customWidth="1"/>
    <col min="12562" max="12562" width="6.1640625" style="56" customWidth="1"/>
    <col min="12563" max="12563" width="22.83203125" style="56" customWidth="1"/>
    <col min="12564" max="12564" width="11.5" style="56" customWidth="1"/>
    <col min="12565" max="12565" width="13.83203125" style="56" customWidth="1"/>
    <col min="12566" max="12566" width="5.83203125" style="56" customWidth="1"/>
    <col min="12567" max="12567" width="15.5" style="56" customWidth="1"/>
    <col min="12568" max="12808" width="11.5" style="56"/>
    <col min="12809" max="12809" width="0.5" style="56" customWidth="1"/>
    <col min="12810" max="12810" width="3.1640625" style="56" customWidth="1"/>
    <col min="12811" max="12811" width="8.83203125" style="56" customWidth="1"/>
    <col min="12812" max="12812" width="14.83203125" style="56" customWidth="1"/>
    <col min="12813" max="12814" width="6.5" style="56" customWidth="1"/>
    <col min="12815" max="12815" width="14.83203125" style="56" customWidth="1"/>
    <col min="12816" max="12817" width="11.5" style="56" customWidth="1"/>
    <col min="12818" max="12818" width="6.1640625" style="56" customWidth="1"/>
    <col min="12819" max="12819" width="22.83203125" style="56" customWidth="1"/>
    <col min="12820" max="12820" width="11.5" style="56" customWidth="1"/>
    <col min="12821" max="12821" width="13.83203125" style="56" customWidth="1"/>
    <col min="12822" max="12822" width="5.83203125" style="56" customWidth="1"/>
    <col min="12823" max="12823" width="15.5" style="56" customWidth="1"/>
    <col min="12824" max="13064" width="11.5" style="56"/>
    <col min="13065" max="13065" width="0.5" style="56" customWidth="1"/>
    <col min="13066" max="13066" width="3.1640625" style="56" customWidth="1"/>
    <col min="13067" max="13067" width="8.83203125" style="56" customWidth="1"/>
    <col min="13068" max="13068" width="14.83203125" style="56" customWidth="1"/>
    <col min="13069" max="13070" width="6.5" style="56" customWidth="1"/>
    <col min="13071" max="13071" width="14.83203125" style="56" customWidth="1"/>
    <col min="13072" max="13073" width="11.5" style="56" customWidth="1"/>
    <col min="13074" max="13074" width="6.1640625" style="56" customWidth="1"/>
    <col min="13075" max="13075" width="22.83203125" style="56" customWidth="1"/>
    <col min="13076" max="13076" width="11.5" style="56" customWidth="1"/>
    <col min="13077" max="13077" width="13.83203125" style="56" customWidth="1"/>
    <col min="13078" max="13078" width="5.83203125" style="56" customWidth="1"/>
    <col min="13079" max="13079" width="15.5" style="56" customWidth="1"/>
    <col min="13080" max="13320" width="11.5" style="56"/>
    <col min="13321" max="13321" width="0.5" style="56" customWidth="1"/>
    <col min="13322" max="13322" width="3.1640625" style="56" customWidth="1"/>
    <col min="13323" max="13323" width="8.83203125" style="56" customWidth="1"/>
    <col min="13324" max="13324" width="14.83203125" style="56" customWidth="1"/>
    <col min="13325" max="13326" width="6.5" style="56" customWidth="1"/>
    <col min="13327" max="13327" width="14.83203125" style="56" customWidth="1"/>
    <col min="13328" max="13329" width="11.5" style="56" customWidth="1"/>
    <col min="13330" max="13330" width="6.1640625" style="56" customWidth="1"/>
    <col min="13331" max="13331" width="22.83203125" style="56" customWidth="1"/>
    <col min="13332" max="13332" width="11.5" style="56" customWidth="1"/>
    <col min="13333" max="13333" width="13.83203125" style="56" customWidth="1"/>
    <col min="13334" max="13334" width="5.83203125" style="56" customWidth="1"/>
    <col min="13335" max="13335" width="15.5" style="56" customWidth="1"/>
    <col min="13336" max="13576" width="11.5" style="56"/>
    <col min="13577" max="13577" width="0.5" style="56" customWidth="1"/>
    <col min="13578" max="13578" width="3.1640625" style="56" customWidth="1"/>
    <col min="13579" max="13579" width="8.83203125" style="56" customWidth="1"/>
    <col min="13580" max="13580" width="14.83203125" style="56" customWidth="1"/>
    <col min="13581" max="13582" width="6.5" style="56" customWidth="1"/>
    <col min="13583" max="13583" width="14.83203125" style="56" customWidth="1"/>
    <col min="13584" max="13585" width="11.5" style="56" customWidth="1"/>
    <col min="13586" max="13586" width="6.1640625" style="56" customWidth="1"/>
    <col min="13587" max="13587" width="22.83203125" style="56" customWidth="1"/>
    <col min="13588" max="13588" width="11.5" style="56" customWidth="1"/>
    <col min="13589" max="13589" width="13.83203125" style="56" customWidth="1"/>
    <col min="13590" max="13590" width="5.83203125" style="56" customWidth="1"/>
    <col min="13591" max="13591" width="15.5" style="56" customWidth="1"/>
    <col min="13592" max="13832" width="11.5" style="56"/>
    <col min="13833" max="13833" width="0.5" style="56" customWidth="1"/>
    <col min="13834" max="13834" width="3.1640625" style="56" customWidth="1"/>
    <col min="13835" max="13835" width="8.83203125" style="56" customWidth="1"/>
    <col min="13836" max="13836" width="14.83203125" style="56" customWidth="1"/>
    <col min="13837" max="13838" width="6.5" style="56" customWidth="1"/>
    <col min="13839" max="13839" width="14.83203125" style="56" customWidth="1"/>
    <col min="13840" max="13841" width="11.5" style="56" customWidth="1"/>
    <col min="13842" max="13842" width="6.1640625" style="56" customWidth="1"/>
    <col min="13843" max="13843" width="22.83203125" style="56" customWidth="1"/>
    <col min="13844" max="13844" width="11.5" style="56" customWidth="1"/>
    <col min="13845" max="13845" width="13.83203125" style="56" customWidth="1"/>
    <col min="13846" max="13846" width="5.83203125" style="56" customWidth="1"/>
    <col min="13847" max="13847" width="15.5" style="56" customWidth="1"/>
    <col min="13848" max="14088" width="11.5" style="56"/>
    <col min="14089" max="14089" width="0.5" style="56" customWidth="1"/>
    <col min="14090" max="14090" width="3.1640625" style="56" customWidth="1"/>
    <col min="14091" max="14091" width="8.83203125" style="56" customWidth="1"/>
    <col min="14092" max="14092" width="14.83203125" style="56" customWidth="1"/>
    <col min="14093" max="14094" width="6.5" style="56" customWidth="1"/>
    <col min="14095" max="14095" width="14.83203125" style="56" customWidth="1"/>
    <col min="14096" max="14097" width="11.5" style="56" customWidth="1"/>
    <col min="14098" max="14098" width="6.1640625" style="56" customWidth="1"/>
    <col min="14099" max="14099" width="22.83203125" style="56" customWidth="1"/>
    <col min="14100" max="14100" width="11.5" style="56" customWidth="1"/>
    <col min="14101" max="14101" width="13.83203125" style="56" customWidth="1"/>
    <col min="14102" max="14102" width="5.83203125" style="56" customWidth="1"/>
    <col min="14103" max="14103" width="15.5" style="56" customWidth="1"/>
    <col min="14104" max="14344" width="11.5" style="56"/>
    <col min="14345" max="14345" width="0.5" style="56" customWidth="1"/>
    <col min="14346" max="14346" width="3.1640625" style="56" customWidth="1"/>
    <col min="14347" max="14347" width="8.83203125" style="56" customWidth="1"/>
    <col min="14348" max="14348" width="14.83203125" style="56" customWidth="1"/>
    <col min="14349" max="14350" width="6.5" style="56" customWidth="1"/>
    <col min="14351" max="14351" width="14.83203125" style="56" customWidth="1"/>
    <col min="14352" max="14353" width="11.5" style="56" customWidth="1"/>
    <col min="14354" max="14354" width="6.1640625" style="56" customWidth="1"/>
    <col min="14355" max="14355" width="22.83203125" style="56" customWidth="1"/>
    <col min="14356" max="14356" width="11.5" style="56" customWidth="1"/>
    <col min="14357" max="14357" width="13.83203125" style="56" customWidth="1"/>
    <col min="14358" max="14358" width="5.83203125" style="56" customWidth="1"/>
    <col min="14359" max="14359" width="15.5" style="56" customWidth="1"/>
    <col min="14360" max="14600" width="11.5" style="56"/>
    <col min="14601" max="14601" width="0.5" style="56" customWidth="1"/>
    <col min="14602" max="14602" width="3.1640625" style="56" customWidth="1"/>
    <col min="14603" max="14603" width="8.83203125" style="56" customWidth="1"/>
    <col min="14604" max="14604" width="14.83203125" style="56" customWidth="1"/>
    <col min="14605" max="14606" width="6.5" style="56" customWidth="1"/>
    <col min="14607" max="14607" width="14.83203125" style="56" customWidth="1"/>
    <col min="14608" max="14609" width="11.5" style="56" customWidth="1"/>
    <col min="14610" max="14610" width="6.1640625" style="56" customWidth="1"/>
    <col min="14611" max="14611" width="22.83203125" style="56" customWidth="1"/>
    <col min="14612" max="14612" width="11.5" style="56" customWidth="1"/>
    <col min="14613" max="14613" width="13.83203125" style="56" customWidth="1"/>
    <col min="14614" max="14614" width="5.83203125" style="56" customWidth="1"/>
    <col min="14615" max="14615" width="15.5" style="56" customWidth="1"/>
    <col min="14616" max="14856" width="11.5" style="56"/>
    <col min="14857" max="14857" width="0.5" style="56" customWidth="1"/>
    <col min="14858" max="14858" width="3.1640625" style="56" customWidth="1"/>
    <col min="14859" max="14859" width="8.83203125" style="56" customWidth="1"/>
    <col min="14860" max="14860" width="14.83203125" style="56" customWidth="1"/>
    <col min="14861" max="14862" width="6.5" style="56" customWidth="1"/>
    <col min="14863" max="14863" width="14.83203125" style="56" customWidth="1"/>
    <col min="14864" max="14865" width="11.5" style="56" customWidth="1"/>
    <col min="14866" max="14866" width="6.1640625" style="56" customWidth="1"/>
    <col min="14867" max="14867" width="22.83203125" style="56" customWidth="1"/>
    <col min="14868" max="14868" width="11.5" style="56" customWidth="1"/>
    <col min="14869" max="14869" width="13.83203125" style="56" customWidth="1"/>
    <col min="14870" max="14870" width="5.83203125" style="56" customWidth="1"/>
    <col min="14871" max="14871" width="15.5" style="56" customWidth="1"/>
    <col min="14872" max="15112" width="11.5" style="56"/>
    <col min="15113" max="15113" width="0.5" style="56" customWidth="1"/>
    <col min="15114" max="15114" width="3.1640625" style="56" customWidth="1"/>
    <col min="15115" max="15115" width="8.83203125" style="56" customWidth="1"/>
    <col min="15116" max="15116" width="14.83203125" style="56" customWidth="1"/>
    <col min="15117" max="15118" width="6.5" style="56" customWidth="1"/>
    <col min="15119" max="15119" width="14.83203125" style="56" customWidth="1"/>
    <col min="15120" max="15121" width="11.5" style="56" customWidth="1"/>
    <col min="15122" max="15122" width="6.1640625" style="56" customWidth="1"/>
    <col min="15123" max="15123" width="22.83203125" style="56" customWidth="1"/>
    <col min="15124" max="15124" width="11.5" style="56" customWidth="1"/>
    <col min="15125" max="15125" width="13.83203125" style="56" customWidth="1"/>
    <col min="15126" max="15126" width="5.83203125" style="56" customWidth="1"/>
    <col min="15127" max="15127" width="15.5" style="56" customWidth="1"/>
    <col min="15128" max="15368" width="11.5" style="56"/>
    <col min="15369" max="15369" width="0.5" style="56" customWidth="1"/>
    <col min="15370" max="15370" width="3.1640625" style="56" customWidth="1"/>
    <col min="15371" max="15371" width="8.83203125" style="56" customWidth="1"/>
    <col min="15372" max="15372" width="14.83203125" style="56" customWidth="1"/>
    <col min="15373" max="15374" width="6.5" style="56" customWidth="1"/>
    <col min="15375" max="15375" width="14.83203125" style="56" customWidth="1"/>
    <col min="15376" max="15377" width="11.5" style="56" customWidth="1"/>
    <col min="15378" max="15378" width="6.1640625" style="56" customWidth="1"/>
    <col min="15379" max="15379" width="22.83203125" style="56" customWidth="1"/>
    <col min="15380" max="15380" width="11.5" style="56" customWidth="1"/>
    <col min="15381" max="15381" width="13.83203125" style="56" customWidth="1"/>
    <col min="15382" max="15382" width="5.83203125" style="56" customWidth="1"/>
    <col min="15383" max="15383" width="15.5" style="56" customWidth="1"/>
    <col min="15384" max="15624" width="11.5" style="56"/>
    <col min="15625" max="15625" width="0.5" style="56" customWidth="1"/>
    <col min="15626" max="15626" width="3.1640625" style="56" customWidth="1"/>
    <col min="15627" max="15627" width="8.83203125" style="56" customWidth="1"/>
    <col min="15628" max="15628" width="14.83203125" style="56" customWidth="1"/>
    <col min="15629" max="15630" width="6.5" style="56" customWidth="1"/>
    <col min="15631" max="15631" width="14.83203125" style="56" customWidth="1"/>
    <col min="15632" max="15633" width="11.5" style="56" customWidth="1"/>
    <col min="15634" max="15634" width="6.1640625" style="56" customWidth="1"/>
    <col min="15635" max="15635" width="22.83203125" style="56" customWidth="1"/>
    <col min="15636" max="15636" width="11.5" style="56" customWidth="1"/>
    <col min="15637" max="15637" width="13.83203125" style="56" customWidth="1"/>
    <col min="15638" max="15638" width="5.83203125" style="56" customWidth="1"/>
    <col min="15639" max="15639" width="15.5" style="56" customWidth="1"/>
    <col min="15640" max="15880" width="11.5" style="56"/>
    <col min="15881" max="15881" width="0.5" style="56" customWidth="1"/>
    <col min="15882" max="15882" width="3.1640625" style="56" customWidth="1"/>
    <col min="15883" max="15883" width="8.83203125" style="56" customWidth="1"/>
    <col min="15884" max="15884" width="14.83203125" style="56" customWidth="1"/>
    <col min="15885" max="15886" width="6.5" style="56" customWidth="1"/>
    <col min="15887" max="15887" width="14.83203125" style="56" customWidth="1"/>
    <col min="15888" max="15889" width="11.5" style="56" customWidth="1"/>
    <col min="15890" max="15890" width="6.1640625" style="56" customWidth="1"/>
    <col min="15891" max="15891" width="22.83203125" style="56" customWidth="1"/>
    <col min="15892" max="15892" width="11.5" style="56" customWidth="1"/>
    <col min="15893" max="15893" width="13.83203125" style="56" customWidth="1"/>
    <col min="15894" max="15894" width="5.83203125" style="56" customWidth="1"/>
    <col min="15895" max="15895" width="15.5" style="56" customWidth="1"/>
    <col min="15896" max="16136" width="11.5" style="56"/>
    <col min="16137" max="16137" width="0.5" style="56" customWidth="1"/>
    <col min="16138" max="16138" width="3.1640625" style="56" customWidth="1"/>
    <col min="16139" max="16139" width="8.83203125" style="56" customWidth="1"/>
    <col min="16140" max="16140" width="14.83203125" style="56" customWidth="1"/>
    <col min="16141" max="16142" width="6.5" style="56" customWidth="1"/>
    <col min="16143" max="16143" width="14.83203125" style="56" customWidth="1"/>
    <col min="16144" max="16145" width="11.5" style="56" customWidth="1"/>
    <col min="16146" max="16146" width="6.1640625" style="56" customWidth="1"/>
    <col min="16147" max="16147" width="22.83203125" style="56" customWidth="1"/>
    <col min="16148" max="16148" width="11.5" style="56" customWidth="1"/>
    <col min="16149" max="16149" width="13.83203125" style="56" customWidth="1"/>
    <col min="16150" max="16150" width="5.83203125" style="56" customWidth="1"/>
    <col min="16151" max="16151" width="15.5" style="56" customWidth="1"/>
    <col min="16152" max="16384" width="11.5" style="56"/>
  </cols>
  <sheetData>
    <row r="1" spans="1:34" ht="8" customHeight="1">
      <c r="K1" s="250"/>
      <c r="Q1" s="91"/>
      <c r="R1" s="91"/>
    </row>
    <row r="2" spans="1:34" ht="5" customHeight="1" thickBot="1">
      <c r="Q2" s="89"/>
      <c r="R2" s="89"/>
    </row>
    <row r="3" spans="1:34" s="57" customFormat="1" ht="17" customHeight="1">
      <c r="A3" s="468"/>
      <c r="B3" s="576" t="s">
        <v>115</v>
      </c>
      <c r="C3" s="577"/>
      <c r="D3" s="577"/>
      <c r="E3" s="577"/>
      <c r="F3" s="577"/>
      <c r="G3" s="577"/>
      <c r="H3" s="577"/>
      <c r="I3" s="577"/>
      <c r="J3" s="578"/>
      <c r="K3" s="95"/>
      <c r="L3" s="271"/>
      <c r="M3" s="274"/>
      <c r="N3" s="93"/>
      <c r="O3" s="93"/>
      <c r="Q3" s="90"/>
      <c r="R3" s="90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301"/>
    </row>
    <row r="4" spans="1:34" ht="6" customHeight="1" thickBot="1">
      <c r="B4" s="579"/>
      <c r="C4" s="580"/>
      <c r="D4" s="580"/>
      <c r="E4" s="580"/>
      <c r="F4" s="580"/>
      <c r="G4" s="580"/>
      <c r="H4" s="580"/>
      <c r="I4" s="580"/>
      <c r="J4" s="581"/>
      <c r="K4" s="95"/>
      <c r="L4" s="58"/>
      <c r="M4" s="58"/>
      <c r="N4" s="93"/>
      <c r="O4" s="93"/>
      <c r="P4" s="58"/>
      <c r="Q4" s="59"/>
      <c r="R4" s="59"/>
    </row>
    <row r="5" spans="1:34" ht="15" customHeight="1">
      <c r="B5" s="582" t="s">
        <v>283</v>
      </c>
      <c r="C5" s="583"/>
      <c r="D5" s="583"/>
      <c r="E5" s="583"/>
      <c r="F5" s="583" t="s">
        <v>27</v>
      </c>
      <c r="G5" s="583"/>
      <c r="H5" s="583"/>
      <c r="I5" s="583"/>
      <c r="J5" s="589"/>
      <c r="K5" s="584" t="s">
        <v>142</v>
      </c>
      <c r="L5" s="585"/>
      <c r="M5" s="585"/>
      <c r="N5" s="585" t="s">
        <v>365</v>
      </c>
      <c r="O5" s="585"/>
      <c r="P5" s="588"/>
      <c r="Q5" s="345" t="s">
        <v>143</v>
      </c>
      <c r="R5" s="92"/>
    </row>
    <row r="6" spans="1:34" ht="17" customHeight="1" thickBot="1">
      <c r="B6" s="592" t="str">
        <f>IF(Start!$D$4="","Dr. Max Mustermann",Start!$D$4)</f>
        <v>Dr. Max Mustermann</v>
      </c>
      <c r="C6" s="593"/>
      <c r="D6" s="593"/>
      <c r="E6" s="593"/>
      <c r="F6" s="593" t="str">
        <f>Start!$D$8</f>
        <v>Ärztin/Arzt in Ausbildung_BSO1994</v>
      </c>
      <c r="G6" s="593"/>
      <c r="H6" s="593"/>
      <c r="I6" s="593"/>
      <c r="J6" s="594"/>
      <c r="K6" s="590">
        <f>IF(SUM(N14:O44,L13:L44,AA51:AD51,AA52:AB52)=0,Datenblatt!J100,SUM(N14:O44,L13:L44,AA51:AD51,AA52:AB52,AH51:AH52))</f>
        <v>220.8</v>
      </c>
      <c r="L6" s="591"/>
      <c r="M6" s="591"/>
      <c r="N6" s="586">
        <f>COUNTIF(D14:E44,"ND")+COUNTIF(D14:E44,"ND12,5")</f>
        <v>0</v>
      </c>
      <c r="O6" s="586"/>
      <c r="P6" s="587"/>
      <c r="Q6" s="346">
        <f>IF(OR(Start!$D$10="",Start!$E$10=""),"",IF(Start!$D$8=Gehalt!$K$32,VLOOKUP($H$8,Gehalt!$A$4:$I$22,3,FALSE),IF(Start!$D$8=Gehalt!$K$33,VLOOKUP($H$8,Gehalt!$A$4:$I$22,4,FALSE),IF(Start!$D$8=Gehalt!$K$34,VLOOKUP($H$8,Gehalt!$A$4:$I$22,5,FALSE),IF(Start!$D$8=Gehalt!$K$35,VLOOKUP($H$8,Gehalt!$A$4:$I$22,6,FALSE),IF(Start!$D$8=Gehalt!$K$36,VLOOKUP($H$8,Gehalt!$A$4:$I$22,7,FALSE),IF(Start!$D$8=Gehalt!$K$37,VLOOKUP($H$8,Gehalt!$A$4:$I$22,6,FALSE),IF(Start!$D$8=Gehalt!$K$38,VLOOKUP($H$8,Gehalt!$A$4:$I$22,8,FALSE),IF(Start!$D$8=Gehalt!$K$39,VLOOKUP($H$8,Gehalt!$A$4:$I$22,8,FALSE),IF(Start!$D$8=Gehalt!$K$40,VLOOKUP($H$8,Gehalt!$A$4:$I$22,9,FALSE),IF(Start!$D$8=Gehalt!$K$41,VLOOKUP($H$8,Gehalt!$A$4:$I$22,9,FALSE))))))))))))</f>
        <v>5365.31</v>
      </c>
      <c r="R6" s="92"/>
      <c r="S6" s="92"/>
    </row>
    <row r="7" spans="1:34" ht="15" customHeight="1">
      <c r="B7" s="582" t="s">
        <v>26</v>
      </c>
      <c r="C7" s="583"/>
      <c r="D7" s="108" t="s">
        <v>25</v>
      </c>
      <c r="E7" s="583" t="s">
        <v>43</v>
      </c>
      <c r="F7" s="583"/>
      <c r="G7" s="583"/>
      <c r="H7" s="583" t="s">
        <v>91</v>
      </c>
      <c r="I7" s="583"/>
      <c r="J7" s="589"/>
      <c r="K7" s="584" t="s">
        <v>80</v>
      </c>
      <c r="L7" s="585"/>
      <c r="M7" s="585"/>
      <c r="N7" s="585" t="s">
        <v>81</v>
      </c>
      <c r="O7" s="585"/>
      <c r="P7" s="588"/>
      <c r="Q7" s="345" t="s">
        <v>144</v>
      </c>
      <c r="R7" s="191"/>
      <c r="S7" s="101"/>
      <c r="U7" s="242"/>
      <c r="AA7" s="242"/>
    </row>
    <row r="8" spans="1:34" s="59" customFormat="1" ht="17" customHeight="1" thickBot="1">
      <c r="A8" s="140"/>
      <c r="B8" s="595">
        <f>DATE($D$8,1,1)</f>
        <v>45292</v>
      </c>
      <c r="C8" s="596"/>
      <c r="D8" s="349">
        <f>Start!$D$2</f>
        <v>2024</v>
      </c>
      <c r="E8" s="601">
        <f>($K$6)/((VLOOKUP($B$8,Datenblatt!$A$100:$G$112,7,FALSE)*0.2)-(0.2*$D$59))</f>
        <v>48</v>
      </c>
      <c r="F8" s="601"/>
      <c r="G8" s="601"/>
      <c r="H8" s="602">
        <f>IF(OR(Start!$D$10="",Start!$E$10=""),"",IF(($C$14&lt;Start!$D$10),Start!$E$10,VLOOKUP(Start!$E$10,Gehalt!$A$4:$B$22,2,FALSE)))</f>
        <v>4</v>
      </c>
      <c r="I8" s="602"/>
      <c r="J8" s="603"/>
      <c r="K8" s="597">
        <f>SUM(M13:M44)</f>
        <v>0</v>
      </c>
      <c r="L8" s="598"/>
      <c r="M8" s="598"/>
      <c r="N8" s="591">
        <f>VLOOKUP($B$8,Datenblatt!A100:F112,6,FALSE)</f>
        <v>176</v>
      </c>
      <c r="O8" s="591"/>
      <c r="P8" s="599"/>
      <c r="Q8" s="346">
        <f ca="1">IF($L$50="","",SUM($L$50:$L$59))</f>
        <v>5365.31</v>
      </c>
      <c r="R8" s="100"/>
      <c r="S8" s="101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302"/>
    </row>
    <row r="9" spans="1:34" s="60" customFormat="1" ht="4.25" customHeight="1">
      <c r="A9" s="469"/>
      <c r="B9" s="559" t="s">
        <v>116</v>
      </c>
      <c r="C9" s="560"/>
      <c r="D9" s="565" t="s">
        <v>124</v>
      </c>
      <c r="E9" s="565" t="s">
        <v>174</v>
      </c>
      <c r="F9" s="568" t="s">
        <v>79</v>
      </c>
      <c r="G9" s="569"/>
      <c r="H9" s="568" t="s">
        <v>109</v>
      </c>
      <c r="I9" s="569"/>
      <c r="J9" s="565" t="s">
        <v>117</v>
      </c>
      <c r="K9" s="556" t="s">
        <v>82</v>
      </c>
      <c r="L9" s="556" t="s">
        <v>130</v>
      </c>
      <c r="M9" s="556" t="s">
        <v>114</v>
      </c>
      <c r="N9" s="556" t="s">
        <v>79</v>
      </c>
      <c r="O9" s="556" t="s">
        <v>109</v>
      </c>
      <c r="P9" s="553" t="s">
        <v>134</v>
      </c>
      <c r="Q9" s="535" t="s">
        <v>125</v>
      </c>
      <c r="R9" s="537" t="s">
        <v>173</v>
      </c>
      <c r="S9" s="573" t="s">
        <v>165</v>
      </c>
      <c r="T9" s="233"/>
      <c r="U9" s="234"/>
      <c r="V9" s="234"/>
      <c r="W9" s="234"/>
      <c r="X9" s="234"/>
      <c r="Y9" s="234"/>
      <c r="Z9" s="233"/>
      <c r="AA9" s="234"/>
      <c r="AB9" s="234"/>
      <c r="AC9" s="234"/>
      <c r="AD9" s="234"/>
      <c r="AE9" s="234"/>
      <c r="AF9" s="234"/>
      <c r="AG9" s="234"/>
      <c r="AH9" s="301"/>
    </row>
    <row r="10" spans="1:34" ht="14.5" customHeight="1">
      <c r="B10" s="561"/>
      <c r="C10" s="562"/>
      <c r="D10" s="566"/>
      <c r="E10" s="566"/>
      <c r="F10" s="570"/>
      <c r="G10" s="571"/>
      <c r="H10" s="570"/>
      <c r="I10" s="571"/>
      <c r="J10" s="566"/>
      <c r="K10" s="557"/>
      <c r="L10" s="557"/>
      <c r="M10" s="557"/>
      <c r="N10" s="557"/>
      <c r="O10" s="557"/>
      <c r="P10" s="554"/>
      <c r="Q10" s="535"/>
      <c r="R10" s="535"/>
      <c r="S10" s="574"/>
      <c r="T10" s="233"/>
      <c r="U10" s="572" t="s">
        <v>108</v>
      </c>
      <c r="V10" s="572"/>
      <c r="W10" s="572"/>
      <c r="X10" s="572"/>
      <c r="Y10" s="572"/>
      <c r="Z10" s="249"/>
      <c r="AA10" s="572" t="s">
        <v>168</v>
      </c>
      <c r="AB10" s="572"/>
      <c r="AC10" s="572"/>
      <c r="AD10" s="572"/>
      <c r="AE10" s="572"/>
      <c r="AF10" s="552" t="s">
        <v>232</v>
      </c>
      <c r="AG10" s="552" t="s">
        <v>233</v>
      </c>
    </row>
    <row r="11" spans="1:34" ht="13" customHeight="1" thickBot="1">
      <c r="B11" s="563"/>
      <c r="C11" s="564"/>
      <c r="D11" s="567"/>
      <c r="E11" s="567"/>
      <c r="F11" s="97" t="s">
        <v>14</v>
      </c>
      <c r="G11" s="98" t="s">
        <v>15</v>
      </c>
      <c r="H11" s="97" t="s">
        <v>14</v>
      </c>
      <c r="I11" s="98" t="s">
        <v>15</v>
      </c>
      <c r="J11" s="567"/>
      <c r="K11" s="558"/>
      <c r="L11" s="558"/>
      <c r="M11" s="558"/>
      <c r="N11" s="558"/>
      <c r="O11" s="558"/>
      <c r="P11" s="555"/>
      <c r="Q11" s="536"/>
      <c r="R11" s="536"/>
      <c r="S11" s="575"/>
      <c r="T11" s="109"/>
      <c r="U11" s="245" t="s">
        <v>105</v>
      </c>
      <c r="V11" s="246" t="s">
        <v>106</v>
      </c>
      <c r="W11" s="247" t="s">
        <v>107</v>
      </c>
      <c r="X11" s="246" t="s">
        <v>176</v>
      </c>
      <c r="Y11" s="246" t="s">
        <v>175</v>
      </c>
      <c r="Z11" s="248"/>
      <c r="AA11" s="245" t="s">
        <v>105</v>
      </c>
      <c r="AB11" s="246" t="s">
        <v>106</v>
      </c>
      <c r="AC11" s="246" t="s">
        <v>176</v>
      </c>
      <c r="AD11" s="246" t="s">
        <v>175</v>
      </c>
      <c r="AE11" s="245" t="s">
        <v>229</v>
      </c>
      <c r="AF11" s="552"/>
      <c r="AG11" s="552"/>
      <c r="AH11" s="246" t="s">
        <v>262</v>
      </c>
    </row>
    <row r="12" spans="1:34" ht="0.25" customHeight="1">
      <c r="B12" s="61"/>
      <c r="C12" s="61"/>
      <c r="D12" s="62"/>
      <c r="E12" s="65"/>
      <c r="F12" s="63"/>
      <c r="G12" s="63"/>
      <c r="H12" s="63"/>
      <c r="I12" s="63"/>
      <c r="J12" s="64"/>
      <c r="K12" s="64"/>
      <c r="L12" s="65"/>
      <c r="M12" s="65"/>
      <c r="N12" s="65"/>
      <c r="O12" s="65"/>
      <c r="P12" s="65"/>
      <c r="S12" s="96"/>
      <c r="T12" s="235"/>
      <c r="U12" s="236"/>
      <c r="V12" s="237"/>
      <c r="Z12" s="236"/>
      <c r="AA12" s="236"/>
      <c r="AB12" s="236"/>
      <c r="AH12" s="303"/>
    </row>
    <row r="13" spans="1:34" ht="13" customHeight="1">
      <c r="A13" s="89" t="str">
        <f>IF(ISERROR(VLOOKUP(C13,Datenblatt!$B$84:$B$97,1,FALSE)),"","Ft")</f>
        <v/>
      </c>
      <c r="B13" s="397">
        <f t="shared" ref="B13:B44" si="0">C13</f>
        <v>45291</v>
      </c>
      <c r="C13" s="148">
        <f>C14-1</f>
        <v>45291</v>
      </c>
      <c r="D13" s="190"/>
      <c r="E13" s="189"/>
      <c r="F13" s="145"/>
      <c r="G13" s="145"/>
      <c r="H13" s="145"/>
      <c r="I13" s="145"/>
      <c r="J13" s="252"/>
      <c r="K13" s="252"/>
      <c r="L13" s="170" t="str">
        <f>IF(D13="ND",9,IF(D13="ND12,5",8.5,""))</f>
        <v/>
      </c>
      <c r="M13" s="170" t="str">
        <f>IF(D13="ND",9,IF(D13="ND12,5",8.5,""))</f>
        <v/>
      </c>
      <c r="N13" s="600" t="str">
        <f>IF(OR(D13="ND",D13="ND12,5"),"Übertrag Vormonat","")</f>
        <v/>
      </c>
      <c r="O13" s="600"/>
      <c r="P13" s="193"/>
      <c r="Q13" s="266"/>
      <c r="R13" s="146"/>
      <c r="S13" s="147"/>
      <c r="T13" s="205"/>
      <c r="U13" s="206"/>
      <c r="V13" s="207"/>
      <c r="W13" s="207"/>
      <c r="X13" s="253"/>
      <c r="Y13" s="253"/>
      <c r="Z13" s="111" t="str">
        <f t="shared" ref="Z13:Z44" si="1">IF(E13="ND",25,IF(E13="ND12,5",12.5,""))</f>
        <v/>
      </c>
      <c r="AA13" s="206"/>
      <c r="AB13" s="208"/>
      <c r="AC13" s="208"/>
      <c r="AD13" s="208"/>
      <c r="AE13" s="208"/>
      <c r="AF13" s="112"/>
      <c r="AG13" s="299"/>
      <c r="AH13" s="304"/>
    </row>
    <row r="14" spans="1:34" ht="13" customHeight="1">
      <c r="A14" s="89" t="str">
        <f>IF(ISERROR(VLOOKUP(C14,Datenblatt!$B$84:$B$97,1,FALSE)),"","Ft")</f>
        <v>Ft</v>
      </c>
      <c r="B14" s="84">
        <f t="shared" si="0"/>
        <v>45292</v>
      </c>
      <c r="C14" s="85">
        <f>DATE($D$8,MONTH(B$8),1)</f>
        <v>45292</v>
      </c>
      <c r="D14" s="67"/>
      <c r="E14" s="67"/>
      <c r="F14" s="68"/>
      <c r="G14" s="69"/>
      <c r="H14" s="68"/>
      <c r="I14" s="68"/>
      <c r="J14" s="99"/>
      <c r="K14" s="21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20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10" t="str">
        <f>IF(D14="","",IF(E13="ND",VLOOKUP(D14,Datenblatt!$A$2:$C$31,3,FALSE)-1,IF(E13="ND12,5",VLOOKUP(D14,Datenblatt!$A$2:$C$31,3,FALSE)-0.5,VLOOKUP(D14,Datenblatt!$A$2:$C$31,3,FALSE))))</f>
        <v/>
      </c>
      <c r="N14" s="211" t="str">
        <f t="shared" ref="N14:N44" si="2">IF(AND(F14="",G14=""),"",IF(OR(F14&gt;G14,AND(F14="",G14&gt;0),F14=G14),"ungültig",IF(OR(WEEKDAY(B14,2)=7,A14="Ft"),0,(G14-F14)*24)))</f>
        <v/>
      </c>
      <c r="O14" s="211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86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103" t="str">
        <f>IF(D14="","",VLOOKUP(D14,Datenblatt!$A$2:$D$31,4,FALSE))</f>
        <v/>
      </c>
      <c r="R14" s="104" t="str">
        <f>IF(E14="","",VLOOKUP(E14,Datenblatt!$E$2:$G$28,2,FALSE))</f>
        <v/>
      </c>
      <c r="S14" s="105"/>
      <c r="T14" s="111">
        <f t="shared" ref="T14:T44" si="4">IF(K14="",0,K14)</f>
        <v>0</v>
      </c>
      <c r="U14" s="114"/>
      <c r="V14" s="112"/>
      <c r="W14" s="112"/>
      <c r="X14" s="254"/>
      <c r="Y14" s="254"/>
      <c r="Z14" s="111" t="str">
        <f t="shared" si="1"/>
        <v/>
      </c>
      <c r="AA14" s="214">
        <f>IF(E13="ND",IF(ISERROR(MATCH(D14,Datenblatt!$L$2:$L$18,0)),3,2),IF(E13="ND12,5",IF(ISERROR(MATCH(D14,Datenblatt!$L$2:$L$18,0)),2.5,2),0))</f>
        <v>0</v>
      </c>
      <c r="AB14" s="214">
        <f>IF((IF(E14="ND",14-IF(D14="",0,VLOOKUP(D14,Datenblatt!$L$2:$M$30,2,FALSE)),IF(E14="ND12,5",2,0)))&lt;0,0,(IF(E14="ND",14-IF(D14="",0,VLOOKUP(D14,Datenblatt!$L$2:$M$30,2,FALSE)),IF(E14="ND12,5",2,0))))</f>
        <v>0</v>
      </c>
      <c r="AC14" s="214">
        <f>IF(OR(E14="ND",E14="ND12,5"),2,0)</f>
        <v>0</v>
      </c>
      <c r="AD14" s="214">
        <f>IF(OR(E13="ND",E13="ND12,5"),6,0)</f>
        <v>0</v>
      </c>
      <c r="AE14" s="214">
        <f>IF(AND(E13="ND",AA14&gt;=2),1,IF(AND(E13="ND12,5",AA14&gt;=2),0.5,0))</f>
        <v>0</v>
      </c>
      <c r="AF14" s="112">
        <f>IF(OR(D14="ND",D14="ND12,5"),2-X14,0)</f>
        <v>0</v>
      </c>
      <c r="AG14" s="299">
        <f>IF(OR(D13="ND",D13="ND12,5"),6-Y14,0)</f>
        <v>0</v>
      </c>
      <c r="AH14" s="112">
        <f>IF(E14="",0,VLOOKUP(E14,Datenblatt!$E$2:$G$28,3,FALSE))</f>
        <v>0</v>
      </c>
    </row>
    <row r="15" spans="1:34" ht="13" customHeight="1">
      <c r="A15" s="89" t="str">
        <f>IF(ISERROR(VLOOKUP(C15,Datenblatt!$B$84:$B$97,1,FALSE)),"","Ft")</f>
        <v/>
      </c>
      <c r="B15" s="84">
        <f t="shared" si="0"/>
        <v>45293</v>
      </c>
      <c r="C15" s="86">
        <f t="shared" ref="C15:C41" si="5">C14+1</f>
        <v>45293</v>
      </c>
      <c r="D15" s="67"/>
      <c r="E15" s="67"/>
      <c r="F15" s="68"/>
      <c r="G15" s="69"/>
      <c r="H15" s="68"/>
      <c r="I15" s="68"/>
      <c r="J15" s="99"/>
      <c r="K15" s="21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20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10" t="str">
        <f>IF(D15="","",IF(E14="ND",VLOOKUP(D15,Datenblatt!$A$2:$C$31,3,FALSE)-1,IF(E14="ND12,5",VLOOKUP(D15,Datenblatt!$A$2:$C$31,3,FALSE)-0.5,VLOOKUP(D15,Datenblatt!$A$2:$C$31,3,FALSE))))</f>
        <v/>
      </c>
      <c r="N15" s="211" t="str">
        <f t="shared" si="2"/>
        <v/>
      </c>
      <c r="O15" s="211" t="str">
        <f t="shared" si="3"/>
        <v/>
      </c>
      <c r="P15" s="186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103" t="str">
        <f>IF(D15="","",VLOOKUP(D15,Datenblatt!$A$2:$D$31,4,FALSE))</f>
        <v/>
      </c>
      <c r="R15" s="104" t="str">
        <f>IF(E15="","",VLOOKUP(E15,Datenblatt!$E$2:$G$28,2,FALSE))</f>
        <v/>
      </c>
      <c r="S15" s="105"/>
      <c r="T15" s="111">
        <f t="shared" si="4"/>
        <v>0</v>
      </c>
      <c r="U15" s="114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12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12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54">
        <f t="array" ref="X15">IF(T15=0,0,IF((AND((ROW(T15)=MATCH(TRUE,($T$1:$T$44)&gt;0,0)))),IF(W15&gt;=6,W15-6,0),IF(W15&gt;=2,2,W15)))</f>
        <v>0</v>
      </c>
      <c r="Y15" s="254">
        <f t="array" ref="Y15">IF(T14=0,0,(IF((AND((ROW(T14)=MATCH(TRUE,($T$1:$T$44)&gt;0,0)))),IF(W14&gt;=6,6,W14),IF(W14&gt;=2,W14-2,0))))</f>
        <v>0</v>
      </c>
      <c r="Z15" s="111" t="str">
        <f t="shared" si="1"/>
        <v/>
      </c>
      <c r="AA15" s="214">
        <f>IF(E14="ND",IF(ISERROR(MATCH(D15,Datenblatt!$L$2:$L$18,0)),3,2),IF(E14="ND12,5",IF(ISERROR(MATCH(D15,Datenblatt!$L$2:$L$18,0)),2.5,2),0))</f>
        <v>0</v>
      </c>
      <c r="AB15" s="214">
        <f>IF((IF(E15="ND",14-IF(D15="",0,VLOOKUP(D15,Datenblatt!$L$2:$M$30,2,FALSE)),IF(E15="ND12,5",2,0)))&lt;0,0,(IF(E15="ND",14-IF(D15="",0,VLOOKUP(D15,Datenblatt!$L$2:$M$30,2,FALSE)),IF(E15="ND12,5",2,0))))</f>
        <v>0</v>
      </c>
      <c r="AC15" s="214">
        <f t="shared" ref="AC15:AC44" si="6">IF(OR(E15="ND",E15="ND12,5"),2,0)</f>
        <v>0</v>
      </c>
      <c r="AD15" s="214">
        <f t="shared" ref="AD15:AD44" si="7">IF(OR(E14="ND",E14="ND12,5"),6,0)</f>
        <v>0</v>
      </c>
      <c r="AE15" s="214">
        <f t="shared" ref="AE15:AE44" si="8">IF(AND(E14="ND",AA15&gt;=2),1,IF(AND(E14="ND12,5",AA15&gt;=2),0.5,0))</f>
        <v>0</v>
      </c>
      <c r="AF15" s="112">
        <f t="shared" ref="AF15:AF44" si="9">IF(OR(D15="ND",D15="ND12,5"),2-X15,0)</f>
        <v>0</v>
      </c>
      <c r="AG15" s="299">
        <f t="shared" ref="AG15:AG44" si="10">IF(OR(D14="ND",D14="ND12,5"),6-Y15,0)</f>
        <v>0</v>
      </c>
      <c r="AH15" s="112">
        <f>IF(E15="",0,VLOOKUP(E15,Datenblatt!$E$2:$G$28,3,FALSE))</f>
        <v>0</v>
      </c>
    </row>
    <row r="16" spans="1:34" ht="13" customHeight="1">
      <c r="A16" s="89" t="str">
        <f>IF(ISERROR(VLOOKUP(C16,Datenblatt!$B$84:$B$97,1,FALSE)),"","Ft")</f>
        <v/>
      </c>
      <c r="B16" s="84">
        <f t="shared" si="0"/>
        <v>45294</v>
      </c>
      <c r="C16" s="86">
        <f t="shared" si="5"/>
        <v>45294</v>
      </c>
      <c r="D16" s="67"/>
      <c r="E16" s="67"/>
      <c r="F16" s="68"/>
      <c r="G16" s="69"/>
      <c r="H16" s="68"/>
      <c r="I16" s="68"/>
      <c r="J16" s="99"/>
      <c r="K16" s="21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20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10" t="str">
        <f>IF(D16="","",IF(E15="ND",VLOOKUP(D16,Datenblatt!$A$2:$C$31,3,FALSE)-1,IF(E15="ND12,5",VLOOKUP(D16,Datenblatt!$A$2:$C$31,3,FALSE)-0.5,VLOOKUP(D16,Datenblatt!$A$2:$C$31,3,FALSE))))</f>
        <v/>
      </c>
      <c r="N16" s="211" t="str">
        <f t="shared" si="2"/>
        <v/>
      </c>
      <c r="O16" s="211" t="str">
        <f t="shared" si="3"/>
        <v/>
      </c>
      <c r="P16" s="186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103" t="str">
        <f>IF(D16="","",VLOOKUP(D16,Datenblatt!$A$2:$D$31,4,FALSE))</f>
        <v/>
      </c>
      <c r="R16" s="104" t="str">
        <f>IF(E16="","",VLOOKUP(E16,Datenblatt!$E$2:$G$28,2,FALSE))</f>
        <v/>
      </c>
      <c r="S16" s="105"/>
      <c r="T16" s="111">
        <f t="shared" si="4"/>
        <v>0</v>
      </c>
      <c r="U16" s="114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12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12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54">
        <f t="array" ref="X16">IF(T16=0,0,IF((AND((ROW(T16)=MATCH(TRUE,($T$1:$T$44)&gt;0,0)))),IF(W16&gt;=6,W16-6,0),IF(W16&gt;=2,2,W16)))</f>
        <v>0</v>
      </c>
      <c r="Y16" s="254">
        <f t="array" ref="Y16">IF(T15=0,0,(IF((AND((ROW(T15)=MATCH(TRUE,($T$1:$T$44)&gt;0,0)))),IF(W15&gt;=6,6,W15),IF(W15&gt;=2,W15-2,0))))</f>
        <v>0</v>
      </c>
      <c r="Z16" s="111" t="str">
        <f t="shared" si="1"/>
        <v/>
      </c>
      <c r="AA16" s="214">
        <f>IF(E15="ND",IF(ISERROR(MATCH(D16,Datenblatt!$L$2:$L$18,0)),3,2),IF(E15="ND12,5",IF(ISERROR(MATCH(D16,Datenblatt!$L$2:$L$18,0)),2.5,2),0))</f>
        <v>0</v>
      </c>
      <c r="AB16" s="214">
        <f>IF((IF(E16="ND",14-IF(D16="",0,VLOOKUP(D16,Datenblatt!$L$2:$M$30,2,FALSE)),IF(E16="ND12,5",2,0)))&lt;0,0,(IF(E16="ND",14-IF(D16="",0,VLOOKUP(D16,Datenblatt!$L$2:$M$30,2,FALSE)),IF(E16="ND12,5",2,0))))</f>
        <v>0</v>
      </c>
      <c r="AC16" s="214">
        <f t="shared" si="6"/>
        <v>0</v>
      </c>
      <c r="AD16" s="214">
        <f t="shared" si="7"/>
        <v>0</v>
      </c>
      <c r="AE16" s="214">
        <f t="shared" si="8"/>
        <v>0</v>
      </c>
      <c r="AF16" s="112">
        <f t="shared" si="9"/>
        <v>0</v>
      </c>
      <c r="AG16" s="299">
        <f t="shared" si="10"/>
        <v>0</v>
      </c>
      <c r="AH16" s="112">
        <f>IF(E16="",0,VLOOKUP(E16,Datenblatt!$E$2:$G$28,3,FALSE))</f>
        <v>0</v>
      </c>
    </row>
    <row r="17" spans="1:34" ht="13" customHeight="1">
      <c r="A17" s="89" t="str">
        <f>IF(ISERROR(VLOOKUP(C17,Datenblatt!$B$84:$B$97,1,FALSE)),"","Ft")</f>
        <v/>
      </c>
      <c r="B17" s="84">
        <f t="shared" si="0"/>
        <v>45295</v>
      </c>
      <c r="C17" s="86">
        <f t="shared" si="5"/>
        <v>45295</v>
      </c>
      <c r="D17" s="67"/>
      <c r="E17" s="67"/>
      <c r="F17" s="68"/>
      <c r="G17" s="69"/>
      <c r="H17" s="68"/>
      <c r="I17" s="68"/>
      <c r="J17" s="99"/>
      <c r="K17" s="21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20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10" t="str">
        <f>IF(D17="","",IF(E16="ND",VLOOKUP(D17,Datenblatt!$A$2:$C$31,3,FALSE)-1,IF(E16="ND12,5",VLOOKUP(D17,Datenblatt!$A$2:$C$31,3,FALSE)-0.5,VLOOKUP(D17,Datenblatt!$A$2:$C$31,3,FALSE))))</f>
        <v/>
      </c>
      <c r="N17" s="211" t="str">
        <f t="shared" si="2"/>
        <v/>
      </c>
      <c r="O17" s="211" t="str">
        <f t="shared" si="3"/>
        <v/>
      </c>
      <c r="P17" s="186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103" t="str">
        <f>IF(D17="","",VLOOKUP(D17,Datenblatt!$A$2:$D$31,4,FALSE))</f>
        <v/>
      </c>
      <c r="R17" s="104" t="str">
        <f>IF(E17="","",VLOOKUP(E17,Datenblatt!$E$2:$G$28,2,FALSE))</f>
        <v/>
      </c>
      <c r="S17" s="105"/>
      <c r="T17" s="111">
        <f t="shared" si="4"/>
        <v>0</v>
      </c>
      <c r="U17" s="114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12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12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54">
        <f t="array" ref="X17">IF(T17=0,0,IF((AND((ROW(T17)=MATCH(TRUE,($T$1:$T$44)&gt;0,0)))),IF(W17&gt;=6,W17-6,0),IF(W17&gt;=2,2,W17)))</f>
        <v>0</v>
      </c>
      <c r="Y17" s="254">
        <f t="array" ref="Y17">IF(T16=0,0,(IF((AND((ROW(T16)=MATCH(TRUE,($T$1:$T$44)&gt;0,0)))),IF(W16&gt;=6,6,W16),IF(W16&gt;=2,W16-2,0))))</f>
        <v>0</v>
      </c>
      <c r="Z17" s="111" t="str">
        <f t="shared" si="1"/>
        <v/>
      </c>
      <c r="AA17" s="214">
        <f>IF(E16="ND",IF(ISERROR(MATCH(D17,Datenblatt!$L$2:$L$18,0)),3,2),IF(E16="ND12,5",IF(ISERROR(MATCH(D17,Datenblatt!$L$2:$L$18,0)),2.5,2),0))</f>
        <v>0</v>
      </c>
      <c r="AB17" s="214">
        <f>IF((IF(E17="ND",14-IF(D17="",0,VLOOKUP(D17,Datenblatt!$L$2:$M$30,2,FALSE)),IF(E17="ND12,5",2,0)))&lt;0,0,(IF(E17="ND",14-IF(D17="",0,VLOOKUP(D17,Datenblatt!$L$2:$M$30,2,FALSE)),IF(E17="ND12,5",2,0))))</f>
        <v>0</v>
      </c>
      <c r="AC17" s="214">
        <f t="shared" si="6"/>
        <v>0</v>
      </c>
      <c r="AD17" s="214">
        <f t="shared" si="7"/>
        <v>0</v>
      </c>
      <c r="AE17" s="214">
        <f t="shared" si="8"/>
        <v>0</v>
      </c>
      <c r="AF17" s="112">
        <f t="shared" si="9"/>
        <v>0</v>
      </c>
      <c r="AG17" s="299">
        <f t="shared" si="10"/>
        <v>0</v>
      </c>
      <c r="AH17" s="112">
        <f>IF(E17="",0,VLOOKUP(E17,Datenblatt!$E$2:$G$28,3,FALSE))</f>
        <v>0</v>
      </c>
    </row>
    <row r="18" spans="1:34" ht="13" customHeight="1">
      <c r="A18" s="89" t="str">
        <f>IF(ISERROR(VLOOKUP(C18,Datenblatt!$B$84:$B$97,1,FALSE)),"","Ft")</f>
        <v/>
      </c>
      <c r="B18" s="84">
        <f t="shared" si="0"/>
        <v>45296</v>
      </c>
      <c r="C18" s="86">
        <f t="shared" si="5"/>
        <v>45296</v>
      </c>
      <c r="D18" s="67"/>
      <c r="E18" s="67"/>
      <c r="F18" s="68"/>
      <c r="G18" s="69"/>
      <c r="H18" s="68"/>
      <c r="I18" s="68"/>
      <c r="J18" s="99"/>
      <c r="K18" s="21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20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10" t="str">
        <f>IF(D18="","",IF(E17="ND",VLOOKUP(D18,Datenblatt!$A$2:$C$31,3,FALSE)-1,IF(E17="ND12,5",VLOOKUP(D18,Datenblatt!$A$2:$C$31,3,FALSE)-0.5,VLOOKUP(D18,Datenblatt!$A$2:$C$31,3,FALSE))))</f>
        <v/>
      </c>
      <c r="N18" s="211" t="str">
        <f t="shared" si="2"/>
        <v/>
      </c>
      <c r="O18" s="211" t="str">
        <f t="shared" si="3"/>
        <v/>
      </c>
      <c r="P18" s="186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103" t="str">
        <f>IF(D18="","",VLOOKUP(D18,Datenblatt!$A$2:$D$31,4,FALSE))</f>
        <v/>
      </c>
      <c r="R18" s="104" t="str">
        <f>IF(E18="","",VLOOKUP(E18,Datenblatt!$E$2:$G$28,2,FALSE))</f>
        <v/>
      </c>
      <c r="S18" s="105"/>
      <c r="T18" s="111">
        <f t="shared" si="4"/>
        <v>0</v>
      </c>
      <c r="U18" s="114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12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12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54">
        <f t="array" ref="X18">IF(T18=0,0,IF((AND((ROW(T18)=MATCH(TRUE,($T$1:$T$44)&gt;0,0)))),IF(W18&gt;=6,W18-6,0),IF(W18&gt;=2,2,W18)))</f>
        <v>0</v>
      </c>
      <c r="Y18" s="254">
        <f t="array" ref="Y18">IF(T17=0,0,(IF((AND((ROW(T17)=MATCH(TRUE,($T$1:$T$44)&gt;0,0)))),IF(W17&gt;=6,6,W17),IF(W17&gt;=2,W17-2,0))))</f>
        <v>0</v>
      </c>
      <c r="Z18" s="111" t="str">
        <f t="shared" si="1"/>
        <v/>
      </c>
      <c r="AA18" s="214">
        <f>IF(E17="ND",IF(ISERROR(MATCH(D18,Datenblatt!$L$2:$L$18,0)),3,2),IF(E17="ND12,5",IF(ISERROR(MATCH(D18,Datenblatt!$L$2:$L$18,0)),2.5,2),0))</f>
        <v>0</v>
      </c>
      <c r="AB18" s="214">
        <f>IF((IF(E18="ND",14-IF(D18="",0,VLOOKUP(D18,Datenblatt!$L$2:$M$30,2,FALSE)),IF(E18="ND12,5",2,0)))&lt;0,0,(IF(E18="ND",14-IF(D18="",0,VLOOKUP(D18,Datenblatt!$L$2:$M$30,2,FALSE)),IF(E18="ND12,5",2,0))))</f>
        <v>0</v>
      </c>
      <c r="AC18" s="214">
        <f t="shared" si="6"/>
        <v>0</v>
      </c>
      <c r="AD18" s="214">
        <f t="shared" si="7"/>
        <v>0</v>
      </c>
      <c r="AE18" s="214">
        <f t="shared" si="8"/>
        <v>0</v>
      </c>
      <c r="AF18" s="112">
        <f t="shared" si="9"/>
        <v>0</v>
      </c>
      <c r="AG18" s="299">
        <f t="shared" si="10"/>
        <v>0</v>
      </c>
      <c r="AH18" s="112">
        <f>IF(E18="",0,VLOOKUP(E18,Datenblatt!$E$2:$G$28,3,FALSE))</f>
        <v>0</v>
      </c>
    </row>
    <row r="19" spans="1:34" ht="13" customHeight="1">
      <c r="A19" s="89" t="str">
        <f>IF(ISERROR(VLOOKUP(C19,Datenblatt!$B$84:$B$97,1,FALSE)),"","Ft")</f>
        <v>Ft</v>
      </c>
      <c r="B19" s="84">
        <f t="shared" si="0"/>
        <v>45297</v>
      </c>
      <c r="C19" s="86">
        <f t="shared" si="5"/>
        <v>45297</v>
      </c>
      <c r="D19" s="67"/>
      <c r="E19" s="67"/>
      <c r="F19" s="68"/>
      <c r="G19" s="69"/>
      <c r="H19" s="68"/>
      <c r="I19" s="68"/>
      <c r="J19" s="99"/>
      <c r="K19" s="21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20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10" t="str">
        <f>IF(D19="","",IF(E18="ND",VLOOKUP(D19,Datenblatt!$A$2:$C$31,3,FALSE)-1,IF(E18="ND12,5",VLOOKUP(D19,Datenblatt!$A$2:$C$31,3,FALSE)-0.5,VLOOKUP(D19,Datenblatt!$A$2:$C$31,3,FALSE))))</f>
        <v/>
      </c>
      <c r="N19" s="211" t="str">
        <f t="shared" si="2"/>
        <v/>
      </c>
      <c r="O19" s="211">
        <f t="shared" si="3"/>
        <v>0</v>
      </c>
      <c r="P19" s="186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103" t="str">
        <f>IF(D19="","",VLOOKUP(D19,Datenblatt!$A$2:$D$31,4,FALSE))</f>
        <v/>
      </c>
      <c r="R19" s="104" t="str">
        <f>IF(E19="","",VLOOKUP(E19,Datenblatt!$E$2:$G$28,2,FALSE))</f>
        <v/>
      </c>
      <c r="S19" s="105"/>
      <c r="T19" s="111">
        <f t="shared" si="4"/>
        <v>0</v>
      </c>
      <c r="U19" s="114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12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12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54">
        <f t="array" ref="X19">IF(T19=0,0,IF((AND((ROW(T19)=MATCH(TRUE,($T$1:$T$44)&gt;0,0)))),IF(W19&gt;=6,W19-6,0),IF(W19&gt;=2,2,W19)))</f>
        <v>0</v>
      </c>
      <c r="Y19" s="254">
        <f t="array" ref="Y19">IF(T18=0,0,(IF((AND((ROW(T18)=MATCH(TRUE,($T$1:$T$44)&gt;0,0)))),IF(W18&gt;=6,6,W18),IF(W18&gt;=2,W18-2,0))))</f>
        <v>0</v>
      </c>
      <c r="Z19" s="111" t="str">
        <f t="shared" si="1"/>
        <v/>
      </c>
      <c r="AA19" s="214">
        <f>IF(E18="ND",IF(ISERROR(MATCH(D19,Datenblatt!$L$2:$L$18,0)),3,2),IF(E18="ND12,5",IF(ISERROR(MATCH(D19,Datenblatt!$L$2:$L$18,0)),2.5,2),0))</f>
        <v>0</v>
      </c>
      <c r="AB19" s="214">
        <f>IF((IF(E19="ND",14-IF(D19="",0,VLOOKUP(D19,Datenblatt!$L$2:$M$30,2,FALSE)),IF(E19="ND12,5",2,0)))&lt;0,0,(IF(E19="ND",14-IF(D19="",0,VLOOKUP(D19,Datenblatt!$L$2:$M$30,2,FALSE)),IF(E19="ND12,5",2,0))))</f>
        <v>0</v>
      </c>
      <c r="AC19" s="214">
        <f t="shared" si="6"/>
        <v>0</v>
      </c>
      <c r="AD19" s="214">
        <f t="shared" si="7"/>
        <v>0</v>
      </c>
      <c r="AE19" s="214">
        <f t="shared" si="8"/>
        <v>0</v>
      </c>
      <c r="AF19" s="112">
        <f t="shared" si="9"/>
        <v>0</v>
      </c>
      <c r="AG19" s="299">
        <f t="shared" si="10"/>
        <v>0</v>
      </c>
      <c r="AH19" s="112">
        <f>IF(E19="",0,VLOOKUP(E19,Datenblatt!$E$2:$G$28,3,FALSE))</f>
        <v>0</v>
      </c>
    </row>
    <row r="20" spans="1:34" ht="13" customHeight="1">
      <c r="A20" s="89" t="str">
        <f>IF(ISERROR(VLOOKUP(C20,Datenblatt!$B$84:$B$97,1,FALSE)),"","Ft")</f>
        <v/>
      </c>
      <c r="B20" s="84">
        <f t="shared" si="0"/>
        <v>45298</v>
      </c>
      <c r="C20" s="86">
        <f t="shared" si="5"/>
        <v>45298</v>
      </c>
      <c r="D20" s="67"/>
      <c r="E20" s="67"/>
      <c r="F20" s="68"/>
      <c r="G20" s="69"/>
      <c r="H20" s="68"/>
      <c r="I20" s="68"/>
      <c r="J20" s="99"/>
      <c r="K20" s="21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20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10" t="str">
        <f>IF(D20="","",IF(E19="ND",VLOOKUP(D20,Datenblatt!$A$2:$C$31,3,FALSE)-1,IF(E19="ND12,5",VLOOKUP(D20,Datenblatt!$A$2:$C$31,3,FALSE)-0.5,VLOOKUP(D20,Datenblatt!$A$2:$C$31,3,FALSE))))</f>
        <v/>
      </c>
      <c r="N20" s="211" t="str">
        <f t="shared" si="2"/>
        <v/>
      </c>
      <c r="O20" s="211">
        <f t="shared" si="3"/>
        <v>0</v>
      </c>
      <c r="P20" s="186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103" t="str">
        <f>IF(D20="","",VLOOKUP(D20,Datenblatt!$A$2:$D$31,4,FALSE))</f>
        <v/>
      </c>
      <c r="R20" s="104" t="str">
        <f>IF(E20="","",VLOOKUP(E20,Datenblatt!$E$2:$G$28,2,FALSE))</f>
        <v/>
      </c>
      <c r="S20" s="105"/>
      <c r="T20" s="111">
        <f t="shared" si="4"/>
        <v>0</v>
      </c>
      <c r="U20" s="114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12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12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54">
        <f t="array" ref="X20">IF(T20=0,0,IF((AND((ROW(T20)=MATCH(TRUE,($T$1:$T$44)&gt;0,0)))),IF(W20&gt;=6,W20-6,0),IF(W20&gt;=2,2,W20)))</f>
        <v>0</v>
      </c>
      <c r="Y20" s="254">
        <f t="array" ref="Y20">IF(T19=0,0,(IF((AND((ROW(T19)=MATCH(TRUE,($T$1:$T$44)&gt;0,0)))),IF(W19&gt;=6,6,W19),IF(W19&gt;=2,W19-2,0))))</f>
        <v>0</v>
      </c>
      <c r="Z20" s="111" t="str">
        <f t="shared" si="1"/>
        <v/>
      </c>
      <c r="AA20" s="214">
        <f>IF(E19="ND",IF(ISERROR(MATCH(D20,Datenblatt!$L$2:$L$18,0)),3,2),IF(E19="ND12,5",IF(ISERROR(MATCH(D20,Datenblatt!$L$2:$L$18,0)),2.5,2),0))</f>
        <v>0</v>
      </c>
      <c r="AB20" s="214">
        <f>IF((IF(E20="ND",14-IF(D20="",0,VLOOKUP(D20,Datenblatt!$L$2:$M$30,2,FALSE)),IF(E20="ND12,5",2,0)))&lt;0,0,(IF(E20="ND",14-IF(D20="",0,VLOOKUP(D20,Datenblatt!$L$2:$M$30,2,FALSE)),IF(E20="ND12,5",2,0))))</f>
        <v>0</v>
      </c>
      <c r="AC20" s="214">
        <f t="shared" si="6"/>
        <v>0</v>
      </c>
      <c r="AD20" s="214">
        <f t="shared" si="7"/>
        <v>0</v>
      </c>
      <c r="AE20" s="214">
        <f t="shared" si="8"/>
        <v>0</v>
      </c>
      <c r="AF20" s="112">
        <f t="shared" si="9"/>
        <v>0</v>
      </c>
      <c r="AG20" s="299">
        <f t="shared" si="10"/>
        <v>0</v>
      </c>
      <c r="AH20" s="112">
        <f>IF(E20="",0,VLOOKUP(E20,Datenblatt!$E$2:$G$28,3,FALSE))</f>
        <v>0</v>
      </c>
    </row>
    <row r="21" spans="1:34" ht="13" customHeight="1">
      <c r="A21" s="89" t="str">
        <f>IF(ISERROR(VLOOKUP(C21,Datenblatt!$B$84:$B$97,1,FALSE)),"","Ft")</f>
        <v/>
      </c>
      <c r="B21" s="84">
        <f t="shared" si="0"/>
        <v>45299</v>
      </c>
      <c r="C21" s="86">
        <f t="shared" si="5"/>
        <v>45299</v>
      </c>
      <c r="D21" s="67"/>
      <c r="E21" s="67"/>
      <c r="F21" s="68"/>
      <c r="G21" s="69"/>
      <c r="H21" s="68"/>
      <c r="I21" s="68"/>
      <c r="J21" s="99"/>
      <c r="K21" s="21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20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10" t="str">
        <f>IF(D21="","",IF(E20="ND",VLOOKUP(D21,Datenblatt!$A$2:$C$31,3,FALSE)-1,IF(E20="ND12,5",VLOOKUP(D21,Datenblatt!$A$2:$C$31,3,FALSE)-0.5,VLOOKUP(D21,Datenblatt!$A$2:$C$31,3,FALSE))))</f>
        <v/>
      </c>
      <c r="N21" s="211" t="str">
        <f t="shared" si="2"/>
        <v/>
      </c>
      <c r="O21" s="211" t="str">
        <f t="shared" si="3"/>
        <v/>
      </c>
      <c r="P21" s="186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103" t="str">
        <f>IF(D21="","",VLOOKUP(D21,Datenblatt!$A$2:$D$31,4,FALSE))</f>
        <v/>
      </c>
      <c r="R21" s="104" t="str">
        <f>IF(E21="","",VLOOKUP(E21,Datenblatt!$E$2:$G$28,2,FALSE))</f>
        <v/>
      </c>
      <c r="S21" s="105"/>
      <c r="T21" s="111">
        <f t="shared" si="4"/>
        <v>0</v>
      </c>
      <c r="U21" s="114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12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12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54">
        <f t="array" ref="X21">IF(T21=0,0,IF((AND((ROW(T21)=MATCH(TRUE,($T$1:$T$44)&gt;0,0)))),IF(W21&gt;=6,W21-6,0),IF(W21&gt;=2,2,W21)))</f>
        <v>0</v>
      </c>
      <c r="Y21" s="254">
        <f t="array" ref="Y21">IF(T20=0,0,(IF((AND((ROW(T20)=MATCH(TRUE,($T$1:$T$44)&gt;0,0)))),IF(W20&gt;=6,6,W20),IF(W20&gt;=2,W20-2,0))))</f>
        <v>0</v>
      </c>
      <c r="Z21" s="111" t="str">
        <f t="shared" si="1"/>
        <v/>
      </c>
      <c r="AA21" s="214">
        <f>IF(E20="ND",IF(ISERROR(MATCH(D21,Datenblatt!$L$2:$L$18,0)),3,2),IF(E20="ND12,5",IF(ISERROR(MATCH(D21,Datenblatt!$L$2:$L$18,0)),2.5,2),0))</f>
        <v>0</v>
      </c>
      <c r="AB21" s="214">
        <f>IF((IF(E21="ND",14-IF(D21="",0,VLOOKUP(D21,Datenblatt!$L$2:$M$30,2,FALSE)),IF(E21="ND12,5",2,0)))&lt;0,0,(IF(E21="ND",14-IF(D21="",0,VLOOKUP(D21,Datenblatt!$L$2:$M$30,2,FALSE)),IF(E21="ND12,5",2,0))))</f>
        <v>0</v>
      </c>
      <c r="AC21" s="214">
        <f t="shared" si="6"/>
        <v>0</v>
      </c>
      <c r="AD21" s="214">
        <f t="shared" si="7"/>
        <v>0</v>
      </c>
      <c r="AE21" s="214">
        <f t="shared" si="8"/>
        <v>0</v>
      </c>
      <c r="AF21" s="112">
        <f t="shared" si="9"/>
        <v>0</v>
      </c>
      <c r="AG21" s="299">
        <f t="shared" si="10"/>
        <v>0</v>
      </c>
      <c r="AH21" s="112">
        <f>IF(E21="",0,VLOOKUP(E21,Datenblatt!$E$2:$G$28,3,FALSE))</f>
        <v>0</v>
      </c>
    </row>
    <row r="22" spans="1:34" ht="13" customHeight="1">
      <c r="A22" s="89" t="str">
        <f>IF(ISERROR(VLOOKUP(C22,Datenblatt!$B$84:$B$97,1,FALSE)),"","Ft")</f>
        <v/>
      </c>
      <c r="B22" s="84">
        <f t="shared" si="0"/>
        <v>45300</v>
      </c>
      <c r="C22" s="86">
        <f t="shared" si="5"/>
        <v>45300</v>
      </c>
      <c r="D22" s="67"/>
      <c r="E22" s="67"/>
      <c r="F22" s="68"/>
      <c r="G22" s="69"/>
      <c r="H22" s="68"/>
      <c r="I22" s="68"/>
      <c r="J22" s="99"/>
      <c r="K22" s="21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20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10" t="str">
        <f>IF(D22="","",IF(E21="ND",VLOOKUP(D22,Datenblatt!$A$2:$C$31,3,FALSE)-1,IF(E21="ND12,5",VLOOKUP(D22,Datenblatt!$A$2:$C$31,3,FALSE)-0.5,VLOOKUP(D22,Datenblatt!$A$2:$C$31,3,FALSE))))</f>
        <v/>
      </c>
      <c r="N22" s="211" t="str">
        <f t="shared" si="2"/>
        <v/>
      </c>
      <c r="O22" s="211" t="str">
        <f t="shared" si="3"/>
        <v/>
      </c>
      <c r="P22" s="186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103" t="str">
        <f>IF(D22="","",VLOOKUP(D22,Datenblatt!$A$2:$D$31,4,FALSE))</f>
        <v/>
      </c>
      <c r="R22" s="104" t="str">
        <f>IF(E22="","",VLOOKUP(E22,Datenblatt!$E$2:$G$28,2,FALSE))</f>
        <v/>
      </c>
      <c r="S22" s="105"/>
      <c r="T22" s="111">
        <f t="shared" si="4"/>
        <v>0</v>
      </c>
      <c r="U22" s="114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12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12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54">
        <f t="array" ref="X22">IF(T22=0,0,IF((AND((ROW(T22)=MATCH(TRUE,($T$1:$T$44)&gt;0,0)))),IF(W22&gt;=6,W22-6,0),IF(W22&gt;=2,2,W22)))</f>
        <v>0</v>
      </c>
      <c r="Y22" s="254">
        <f t="array" ref="Y22">IF(T21=0,0,(IF((AND((ROW(T21)=MATCH(TRUE,($T$1:$T$44)&gt;0,0)))),IF(W21&gt;=6,6,W21),IF(W21&gt;=2,W21-2,0))))</f>
        <v>0</v>
      </c>
      <c r="Z22" s="111" t="str">
        <f t="shared" si="1"/>
        <v/>
      </c>
      <c r="AA22" s="214">
        <f>IF(E21="ND",IF(ISERROR(MATCH(D22,Datenblatt!$L$2:$L$18,0)),3,2),IF(E21="ND12,5",IF(ISERROR(MATCH(D22,Datenblatt!$L$2:$L$18,0)),2.5,2),0))</f>
        <v>0</v>
      </c>
      <c r="AB22" s="214">
        <f>IF((IF(E22="ND",14-IF(D22="",0,VLOOKUP(D22,Datenblatt!$L$2:$M$30,2,FALSE)),IF(E22="ND12,5",2,0)))&lt;0,0,(IF(E22="ND",14-IF(D22="",0,VLOOKUP(D22,Datenblatt!$L$2:$M$30,2,FALSE)),IF(E22="ND12,5",2,0))))</f>
        <v>0</v>
      </c>
      <c r="AC22" s="214">
        <f t="shared" si="6"/>
        <v>0</v>
      </c>
      <c r="AD22" s="214">
        <f t="shared" si="7"/>
        <v>0</v>
      </c>
      <c r="AE22" s="214">
        <f t="shared" si="8"/>
        <v>0</v>
      </c>
      <c r="AF22" s="112">
        <f t="shared" si="9"/>
        <v>0</v>
      </c>
      <c r="AG22" s="299">
        <f t="shared" si="10"/>
        <v>0</v>
      </c>
      <c r="AH22" s="112">
        <f>IF(E22="",0,VLOOKUP(E22,Datenblatt!$E$2:$G$28,3,FALSE))</f>
        <v>0</v>
      </c>
    </row>
    <row r="23" spans="1:34" ht="13" customHeight="1">
      <c r="A23" s="89" t="str">
        <f>IF(ISERROR(VLOOKUP(C23,Datenblatt!$B$84:$B$97,1,FALSE)),"","Ft")</f>
        <v/>
      </c>
      <c r="B23" s="84">
        <f t="shared" si="0"/>
        <v>45301</v>
      </c>
      <c r="C23" s="86">
        <f t="shared" si="5"/>
        <v>45301</v>
      </c>
      <c r="D23" s="67"/>
      <c r="E23" s="67"/>
      <c r="F23" s="68"/>
      <c r="G23" s="69"/>
      <c r="H23" s="68"/>
      <c r="I23" s="68"/>
      <c r="J23" s="99"/>
      <c r="K23" s="21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20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10" t="str">
        <f>IF(D23="","",IF(E22="ND",VLOOKUP(D23,Datenblatt!$A$2:$C$31,3,FALSE)-1,IF(E22="ND12,5",VLOOKUP(D23,Datenblatt!$A$2:$C$31,3,FALSE)-0.5,VLOOKUP(D23,Datenblatt!$A$2:$C$31,3,FALSE))))</f>
        <v/>
      </c>
      <c r="N23" s="211" t="str">
        <f t="shared" si="2"/>
        <v/>
      </c>
      <c r="O23" s="211" t="str">
        <f t="shared" si="3"/>
        <v/>
      </c>
      <c r="P23" s="186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103" t="str">
        <f>IF(D23="","",VLOOKUP(D23,Datenblatt!$A$2:$D$31,4,FALSE))</f>
        <v/>
      </c>
      <c r="R23" s="104" t="str">
        <f>IF(E23="","",VLOOKUP(E23,Datenblatt!$E$2:$G$28,2,FALSE))</f>
        <v/>
      </c>
      <c r="S23" s="105"/>
      <c r="T23" s="111">
        <f t="shared" si="4"/>
        <v>0</v>
      </c>
      <c r="U23" s="114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12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12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54">
        <f t="array" ref="X23">IF(T23=0,0,IF((AND((ROW(T23)=MATCH(TRUE,($T$1:$T$44)&gt;0,0)))),IF(W23&gt;=6,W23-6,0),IF(W23&gt;=2,2,W23)))</f>
        <v>0</v>
      </c>
      <c r="Y23" s="254">
        <f t="array" ref="Y23">IF(T22=0,0,(IF((AND((ROW(T22)=MATCH(TRUE,($T$1:$T$44)&gt;0,0)))),IF(W22&gt;=6,6,W22),IF(W22&gt;=2,W22-2,0))))</f>
        <v>0</v>
      </c>
      <c r="Z23" s="111" t="str">
        <f t="shared" si="1"/>
        <v/>
      </c>
      <c r="AA23" s="214">
        <f>IF(E22="ND",IF(ISERROR(MATCH(D23,Datenblatt!$L$2:$L$18,0)),3,2),IF(E22="ND12,5",IF(ISERROR(MATCH(D23,Datenblatt!$L$2:$L$18,0)),2.5,2),0))</f>
        <v>0</v>
      </c>
      <c r="AB23" s="214">
        <f>IF((IF(E23="ND",14-IF(D23="",0,VLOOKUP(D23,Datenblatt!$L$2:$M$30,2,FALSE)),IF(E23="ND12,5",2,0)))&lt;0,0,(IF(E23="ND",14-IF(D23="",0,VLOOKUP(D23,Datenblatt!$L$2:$M$30,2,FALSE)),IF(E23="ND12,5",2,0))))</f>
        <v>0</v>
      </c>
      <c r="AC23" s="214">
        <f t="shared" si="6"/>
        <v>0</v>
      </c>
      <c r="AD23" s="214">
        <f t="shared" si="7"/>
        <v>0</v>
      </c>
      <c r="AE23" s="214">
        <f t="shared" si="8"/>
        <v>0</v>
      </c>
      <c r="AF23" s="112">
        <f t="shared" si="9"/>
        <v>0</v>
      </c>
      <c r="AG23" s="299">
        <f t="shared" si="10"/>
        <v>0</v>
      </c>
      <c r="AH23" s="112">
        <f>IF(E23="",0,VLOOKUP(E23,Datenblatt!$E$2:$G$28,3,FALSE))</f>
        <v>0</v>
      </c>
    </row>
    <row r="24" spans="1:34" ht="13" customHeight="1">
      <c r="A24" s="89" t="str">
        <f>IF(ISERROR(VLOOKUP(C24,Datenblatt!$B$84:$B$97,1,FALSE)),"","Ft")</f>
        <v/>
      </c>
      <c r="B24" s="84">
        <f t="shared" si="0"/>
        <v>45302</v>
      </c>
      <c r="C24" s="86">
        <f t="shared" si="5"/>
        <v>45302</v>
      </c>
      <c r="D24" s="67"/>
      <c r="E24" s="67"/>
      <c r="F24" s="68"/>
      <c r="G24" s="69"/>
      <c r="H24" s="68"/>
      <c r="I24" s="68"/>
      <c r="J24" s="99"/>
      <c r="K24" s="21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20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10" t="str">
        <f>IF(D24="","",IF(E23="ND",VLOOKUP(D24,Datenblatt!$A$2:$C$31,3,FALSE)-1,IF(E23="ND12,5",VLOOKUP(D24,Datenblatt!$A$2:$C$31,3,FALSE)-0.5,VLOOKUP(D24,Datenblatt!$A$2:$C$31,3,FALSE))))</f>
        <v/>
      </c>
      <c r="N24" s="211" t="str">
        <f t="shared" si="2"/>
        <v/>
      </c>
      <c r="O24" s="211" t="str">
        <f t="shared" si="3"/>
        <v/>
      </c>
      <c r="P24" s="186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103" t="str">
        <f>IF(D24="","",VLOOKUP(D24,Datenblatt!$A$2:$D$31,4,FALSE))</f>
        <v/>
      </c>
      <c r="R24" s="104" t="str">
        <f>IF(E24="","",VLOOKUP(E24,Datenblatt!$E$2:$G$28,2,FALSE))</f>
        <v/>
      </c>
      <c r="S24" s="105"/>
      <c r="T24" s="111">
        <f t="shared" si="4"/>
        <v>0</v>
      </c>
      <c r="U24" s="114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12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12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54">
        <f t="array" ref="X24">IF(T24=0,0,IF((AND((ROW(T24)=MATCH(TRUE,($T$1:$T$44)&gt;0,0)))),IF(W24&gt;=6,W24-6,0),IF(W24&gt;=2,2,W24)))</f>
        <v>0</v>
      </c>
      <c r="Y24" s="254">
        <f t="array" ref="Y24">IF(T23=0,0,(IF((AND((ROW(T23)=MATCH(TRUE,($T$1:$T$44)&gt;0,0)))),IF(W23&gt;=6,6,W23),IF(W23&gt;=2,W23-2,0))))</f>
        <v>0</v>
      </c>
      <c r="Z24" s="111" t="str">
        <f t="shared" si="1"/>
        <v/>
      </c>
      <c r="AA24" s="214">
        <f>IF(E23="ND",IF(ISERROR(MATCH(D24,Datenblatt!$L$2:$L$18,0)),3,2),IF(E23="ND12,5",IF(ISERROR(MATCH(D24,Datenblatt!$L$2:$L$18,0)),2.5,2),0))</f>
        <v>0</v>
      </c>
      <c r="AB24" s="214">
        <f>IF((IF(E24="ND",14-IF(D24="",0,VLOOKUP(D24,Datenblatt!$L$2:$M$30,2,FALSE)),IF(E24="ND12,5",2,0)))&lt;0,0,(IF(E24="ND",14-IF(D24="",0,VLOOKUP(D24,Datenblatt!$L$2:$M$30,2,FALSE)),IF(E24="ND12,5",2,0))))</f>
        <v>0</v>
      </c>
      <c r="AC24" s="214">
        <f t="shared" si="6"/>
        <v>0</v>
      </c>
      <c r="AD24" s="214">
        <f t="shared" si="7"/>
        <v>0</v>
      </c>
      <c r="AE24" s="214">
        <f t="shared" si="8"/>
        <v>0</v>
      </c>
      <c r="AF24" s="112">
        <f t="shared" si="9"/>
        <v>0</v>
      </c>
      <c r="AG24" s="299">
        <f t="shared" si="10"/>
        <v>0</v>
      </c>
      <c r="AH24" s="112">
        <f>IF(E24="",0,VLOOKUP(E24,Datenblatt!$E$2:$G$28,3,FALSE))</f>
        <v>0</v>
      </c>
    </row>
    <row r="25" spans="1:34" ht="13" customHeight="1">
      <c r="A25" s="89" t="str">
        <f>IF(ISERROR(VLOOKUP(C25,Datenblatt!$B$84:$B$97,1,FALSE)),"","Ft")</f>
        <v/>
      </c>
      <c r="B25" s="84">
        <f t="shared" si="0"/>
        <v>45303</v>
      </c>
      <c r="C25" s="86">
        <f t="shared" si="5"/>
        <v>45303</v>
      </c>
      <c r="D25" s="67"/>
      <c r="E25" s="67"/>
      <c r="F25" s="68"/>
      <c r="G25" s="69"/>
      <c r="H25" s="68"/>
      <c r="I25" s="68"/>
      <c r="J25" s="99"/>
      <c r="K25" s="21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20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10" t="str">
        <f>IF(D25="","",IF(E24="ND",VLOOKUP(D25,Datenblatt!$A$2:$C$31,3,FALSE)-1,IF(E24="ND12,5",VLOOKUP(D25,Datenblatt!$A$2:$C$31,3,FALSE)-0.5,VLOOKUP(D25,Datenblatt!$A$2:$C$31,3,FALSE))))</f>
        <v/>
      </c>
      <c r="N25" s="211" t="str">
        <f t="shared" si="2"/>
        <v/>
      </c>
      <c r="O25" s="211" t="str">
        <f t="shared" si="3"/>
        <v/>
      </c>
      <c r="P25" s="186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103" t="str">
        <f>IF(D25="","",VLOOKUP(D25,Datenblatt!$A$2:$D$31,4,FALSE))</f>
        <v/>
      </c>
      <c r="R25" s="104" t="str">
        <f>IF(E25="","",VLOOKUP(E25,Datenblatt!$E$2:$G$28,2,FALSE))</f>
        <v/>
      </c>
      <c r="S25" s="105"/>
      <c r="T25" s="111">
        <f t="shared" si="4"/>
        <v>0</v>
      </c>
      <c r="U25" s="114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12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12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54">
        <f t="array" ref="X25">IF(T25=0,0,IF((AND((ROW(T25)=MATCH(TRUE,($T$1:$T$44)&gt;0,0)))),IF(W25&gt;=6,W25-6,0),IF(W25&gt;=2,2,W25)))</f>
        <v>0</v>
      </c>
      <c r="Y25" s="254">
        <f t="array" ref="Y25">IF(T24=0,0,(IF((AND((ROW(T24)=MATCH(TRUE,($T$1:$T$44)&gt;0,0)))),IF(W24&gt;=6,6,W24),IF(W24&gt;=2,W24-2,0))))</f>
        <v>0</v>
      </c>
      <c r="Z25" s="111" t="str">
        <f t="shared" si="1"/>
        <v/>
      </c>
      <c r="AA25" s="214">
        <f>IF(E24="ND",IF(ISERROR(MATCH(D25,Datenblatt!$L$2:$L$18,0)),3,2),IF(E24="ND12,5",IF(ISERROR(MATCH(D25,Datenblatt!$L$2:$L$18,0)),2.5,2),0))</f>
        <v>0</v>
      </c>
      <c r="AB25" s="214">
        <f>IF((IF(E25="ND",14-IF(D25="",0,VLOOKUP(D25,Datenblatt!$L$2:$M$30,2,FALSE)),IF(E25="ND12,5",2,0)))&lt;0,0,(IF(E25="ND",14-IF(D25="",0,VLOOKUP(D25,Datenblatt!$L$2:$M$30,2,FALSE)),IF(E25="ND12,5",2,0))))</f>
        <v>0</v>
      </c>
      <c r="AC25" s="214">
        <f t="shared" si="6"/>
        <v>0</v>
      </c>
      <c r="AD25" s="214">
        <f t="shared" si="7"/>
        <v>0</v>
      </c>
      <c r="AE25" s="214">
        <f t="shared" si="8"/>
        <v>0</v>
      </c>
      <c r="AF25" s="112">
        <f t="shared" si="9"/>
        <v>0</v>
      </c>
      <c r="AG25" s="299">
        <f t="shared" si="10"/>
        <v>0</v>
      </c>
      <c r="AH25" s="112">
        <f>IF(E25="",0,VLOOKUP(E25,Datenblatt!$E$2:$G$28,3,FALSE))</f>
        <v>0</v>
      </c>
    </row>
    <row r="26" spans="1:34" ht="13" customHeight="1">
      <c r="A26" s="89" t="str">
        <f>IF(ISERROR(VLOOKUP(C26,Datenblatt!$B$84:$B$97,1,FALSE)),"","Ft")</f>
        <v/>
      </c>
      <c r="B26" s="84">
        <f t="shared" si="0"/>
        <v>45304</v>
      </c>
      <c r="C26" s="86">
        <f t="shared" si="5"/>
        <v>45304</v>
      </c>
      <c r="D26" s="67"/>
      <c r="E26" s="67"/>
      <c r="F26" s="68"/>
      <c r="G26" s="69"/>
      <c r="H26" s="68"/>
      <c r="I26" s="68"/>
      <c r="J26" s="99"/>
      <c r="K26" s="21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20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10" t="str">
        <f>IF(D26="","",IF(E25="ND",VLOOKUP(D26,Datenblatt!$A$2:$C$31,3,FALSE)-1,IF(E25="ND12,5",VLOOKUP(D26,Datenblatt!$A$2:$C$31,3,FALSE)-0.5,VLOOKUP(D26,Datenblatt!$A$2:$C$31,3,FALSE))))</f>
        <v/>
      </c>
      <c r="N26" s="211" t="str">
        <f t="shared" si="2"/>
        <v/>
      </c>
      <c r="O26" s="211" t="str">
        <f t="shared" si="3"/>
        <v/>
      </c>
      <c r="P26" s="186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103" t="str">
        <f>IF(D26="","",VLOOKUP(D26,Datenblatt!$A$2:$D$31,4,FALSE))</f>
        <v/>
      </c>
      <c r="R26" s="104" t="str">
        <f>IF(E26="","",VLOOKUP(E26,Datenblatt!$E$2:$G$28,2,FALSE))</f>
        <v/>
      </c>
      <c r="S26" s="105"/>
      <c r="T26" s="111">
        <f t="shared" si="4"/>
        <v>0</v>
      </c>
      <c r="U26" s="114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12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12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54">
        <f t="array" ref="X26">IF(T26=0,0,IF((AND((ROW(T26)=MATCH(TRUE,($T$1:$T$44)&gt;0,0)))),IF(W26&gt;=6,W26-6,0),IF(W26&gt;=2,2,W26)))</f>
        <v>0</v>
      </c>
      <c r="Y26" s="254">
        <f t="array" ref="Y26">IF(T25=0,0,(IF((AND((ROW(T25)=MATCH(TRUE,($T$1:$T$44)&gt;0,0)))),IF(W25&gt;=6,6,W25),IF(W25&gt;=2,W25-2,0))))</f>
        <v>0</v>
      </c>
      <c r="Z26" s="111" t="str">
        <f t="shared" si="1"/>
        <v/>
      </c>
      <c r="AA26" s="214">
        <f>IF(E25="ND",IF(ISERROR(MATCH(D26,Datenblatt!$L$2:$L$18,0)),3,2),IF(E25="ND12,5",IF(ISERROR(MATCH(D26,Datenblatt!$L$2:$L$18,0)),2.5,2),0))</f>
        <v>0</v>
      </c>
      <c r="AB26" s="214">
        <f>IF((IF(E26="ND",14-IF(D26="",0,VLOOKUP(D26,Datenblatt!$L$2:$M$30,2,FALSE)),IF(E26="ND12,5",2,0)))&lt;0,0,(IF(E26="ND",14-IF(D26="",0,VLOOKUP(D26,Datenblatt!$L$2:$M$30,2,FALSE)),IF(E26="ND12,5",2,0))))</f>
        <v>0</v>
      </c>
      <c r="AC26" s="214">
        <f t="shared" si="6"/>
        <v>0</v>
      </c>
      <c r="AD26" s="214">
        <f t="shared" si="7"/>
        <v>0</v>
      </c>
      <c r="AE26" s="214">
        <f t="shared" si="8"/>
        <v>0</v>
      </c>
      <c r="AF26" s="112">
        <f t="shared" si="9"/>
        <v>0</v>
      </c>
      <c r="AG26" s="299">
        <f t="shared" si="10"/>
        <v>0</v>
      </c>
      <c r="AH26" s="112">
        <f>IF(E26="",0,VLOOKUP(E26,Datenblatt!$E$2:$G$28,3,FALSE))</f>
        <v>0</v>
      </c>
    </row>
    <row r="27" spans="1:34" ht="13" customHeight="1">
      <c r="A27" s="89" t="str">
        <f>IF(ISERROR(VLOOKUP(C27,Datenblatt!$B$84:$B$97,1,FALSE)),"","Ft")</f>
        <v/>
      </c>
      <c r="B27" s="84">
        <f t="shared" si="0"/>
        <v>45305</v>
      </c>
      <c r="C27" s="86">
        <f t="shared" si="5"/>
        <v>45305</v>
      </c>
      <c r="D27" s="67"/>
      <c r="E27" s="67"/>
      <c r="F27" s="68"/>
      <c r="G27" s="69"/>
      <c r="H27" s="68"/>
      <c r="I27" s="68"/>
      <c r="J27" s="99"/>
      <c r="K27" s="21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20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10" t="str">
        <f>IF(D27="","",IF(E26="ND",VLOOKUP(D27,Datenblatt!$A$2:$C$31,3,FALSE)-1,IF(E26="ND12,5",VLOOKUP(D27,Datenblatt!$A$2:$C$31,3,FALSE)-0.5,VLOOKUP(D27,Datenblatt!$A$2:$C$31,3,FALSE))))</f>
        <v/>
      </c>
      <c r="N27" s="211" t="str">
        <f t="shared" si="2"/>
        <v/>
      </c>
      <c r="O27" s="211">
        <f t="shared" si="3"/>
        <v>0</v>
      </c>
      <c r="P27" s="186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103" t="str">
        <f>IF(D27="","",VLOOKUP(D27,Datenblatt!$A$2:$D$31,4,FALSE))</f>
        <v/>
      </c>
      <c r="R27" s="104" t="str">
        <f>IF(E27="","",VLOOKUP(E27,Datenblatt!$E$2:$G$28,2,FALSE))</f>
        <v/>
      </c>
      <c r="S27" s="105"/>
      <c r="T27" s="111">
        <f t="shared" si="4"/>
        <v>0</v>
      </c>
      <c r="U27" s="114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12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12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54">
        <f t="array" ref="X27">IF(T27=0,0,IF((AND((ROW(T27)=MATCH(TRUE,($T$1:$T$44)&gt;0,0)))),IF(W27&gt;=6,W27-6,0),IF(W27&gt;=2,2,W27)))</f>
        <v>0</v>
      </c>
      <c r="Y27" s="254">
        <f t="array" ref="Y27">IF(T26=0,0,(IF((AND((ROW(T26)=MATCH(TRUE,($T$1:$T$44)&gt;0,0)))),IF(W26&gt;=6,6,W26),IF(W26&gt;=2,W26-2,0))))</f>
        <v>0</v>
      </c>
      <c r="Z27" s="111" t="str">
        <f t="shared" si="1"/>
        <v/>
      </c>
      <c r="AA27" s="214">
        <f>IF(E26="ND",IF(ISERROR(MATCH(D27,Datenblatt!$L$2:$L$18,0)),3,2),IF(E26="ND12,5",IF(ISERROR(MATCH(D27,Datenblatt!$L$2:$L$18,0)),2.5,2),0))</f>
        <v>0</v>
      </c>
      <c r="AB27" s="214">
        <f>IF((IF(E27="ND",14-IF(D27="",0,VLOOKUP(D27,Datenblatt!$L$2:$M$30,2,FALSE)),IF(E27="ND12,5",2,0)))&lt;0,0,(IF(E27="ND",14-IF(D27="",0,VLOOKUP(D27,Datenblatt!$L$2:$M$30,2,FALSE)),IF(E27="ND12,5",2,0))))</f>
        <v>0</v>
      </c>
      <c r="AC27" s="214">
        <f t="shared" si="6"/>
        <v>0</v>
      </c>
      <c r="AD27" s="214">
        <f t="shared" si="7"/>
        <v>0</v>
      </c>
      <c r="AE27" s="214">
        <f t="shared" si="8"/>
        <v>0</v>
      </c>
      <c r="AF27" s="112">
        <f t="shared" si="9"/>
        <v>0</v>
      </c>
      <c r="AG27" s="299">
        <f t="shared" si="10"/>
        <v>0</v>
      </c>
      <c r="AH27" s="112">
        <f>IF(E27="",0,VLOOKUP(E27,Datenblatt!$E$2:$G$28,3,FALSE))</f>
        <v>0</v>
      </c>
    </row>
    <row r="28" spans="1:34" ht="13" customHeight="1">
      <c r="A28" s="89" t="str">
        <f>IF(ISERROR(VLOOKUP(C28,Datenblatt!$B$84:$B$97,1,FALSE)),"","Ft")</f>
        <v/>
      </c>
      <c r="B28" s="84">
        <f t="shared" si="0"/>
        <v>45306</v>
      </c>
      <c r="C28" s="86">
        <f t="shared" si="5"/>
        <v>45306</v>
      </c>
      <c r="D28" s="67"/>
      <c r="E28" s="67"/>
      <c r="F28" s="68"/>
      <c r="G28" s="69"/>
      <c r="H28" s="68"/>
      <c r="I28" s="68"/>
      <c r="J28" s="99"/>
      <c r="K28" s="21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20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10" t="str">
        <f>IF(D28="","",IF(E27="ND",VLOOKUP(D28,Datenblatt!$A$2:$C$31,3,FALSE)-1,IF(E27="ND12,5",VLOOKUP(D28,Datenblatt!$A$2:$C$31,3,FALSE)-0.5,VLOOKUP(D28,Datenblatt!$A$2:$C$31,3,FALSE))))</f>
        <v/>
      </c>
      <c r="N28" s="211" t="str">
        <f t="shared" si="2"/>
        <v/>
      </c>
      <c r="O28" s="211" t="str">
        <f t="shared" si="3"/>
        <v/>
      </c>
      <c r="P28" s="186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103" t="str">
        <f>IF(D28="","",VLOOKUP(D28,Datenblatt!$A$2:$D$31,4,FALSE))</f>
        <v/>
      </c>
      <c r="R28" s="104" t="str">
        <f>IF(E28="","",VLOOKUP(E28,Datenblatt!$E$2:$G$28,2,FALSE))</f>
        <v/>
      </c>
      <c r="S28" s="105"/>
      <c r="T28" s="111">
        <f t="shared" si="4"/>
        <v>0</v>
      </c>
      <c r="U28" s="114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12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12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54">
        <f t="array" ref="X28">IF(T28=0,0,IF((AND((ROW(T28)=MATCH(TRUE,($T$1:$T$44)&gt;0,0)))),IF(W28&gt;=6,W28-6,0),IF(W28&gt;=2,2,W28)))</f>
        <v>0</v>
      </c>
      <c r="Y28" s="254">
        <f t="array" ref="Y28">IF(T27=0,0,(IF((AND((ROW(T27)=MATCH(TRUE,($T$1:$T$44)&gt;0,0)))),IF(W27&gt;=6,6,W27),IF(W27&gt;=2,W27-2,0))))</f>
        <v>0</v>
      </c>
      <c r="Z28" s="111" t="str">
        <f t="shared" si="1"/>
        <v/>
      </c>
      <c r="AA28" s="214">
        <f>IF(E27="ND",IF(ISERROR(MATCH(D28,Datenblatt!$L$2:$L$18,0)),3,2),IF(E27="ND12,5",IF(ISERROR(MATCH(D28,Datenblatt!$L$2:$L$18,0)),2.5,2),0))</f>
        <v>0</v>
      </c>
      <c r="AB28" s="214">
        <f>IF((IF(E28="ND",14-IF(D28="",0,VLOOKUP(D28,Datenblatt!$L$2:$M$30,2,FALSE)),IF(E28="ND12,5",2,0)))&lt;0,0,(IF(E28="ND",14-IF(D28="",0,VLOOKUP(D28,Datenblatt!$L$2:$M$30,2,FALSE)),IF(E28="ND12,5",2,0))))</f>
        <v>0</v>
      </c>
      <c r="AC28" s="214">
        <f t="shared" si="6"/>
        <v>0</v>
      </c>
      <c r="AD28" s="214">
        <f t="shared" si="7"/>
        <v>0</v>
      </c>
      <c r="AE28" s="214">
        <f t="shared" si="8"/>
        <v>0</v>
      </c>
      <c r="AF28" s="112">
        <f t="shared" si="9"/>
        <v>0</v>
      </c>
      <c r="AG28" s="299">
        <f t="shared" si="10"/>
        <v>0</v>
      </c>
      <c r="AH28" s="112">
        <f>IF(E28="",0,VLOOKUP(E28,Datenblatt!$E$2:$G$28,3,FALSE))</f>
        <v>0</v>
      </c>
    </row>
    <row r="29" spans="1:34" ht="13" customHeight="1">
      <c r="A29" s="89" t="str">
        <f>IF(ISERROR(VLOOKUP(C29,Datenblatt!$B$84:$B$97,1,FALSE)),"","Ft")</f>
        <v/>
      </c>
      <c r="B29" s="84">
        <f t="shared" si="0"/>
        <v>45307</v>
      </c>
      <c r="C29" s="86">
        <f t="shared" si="5"/>
        <v>45307</v>
      </c>
      <c r="D29" s="67"/>
      <c r="E29" s="67"/>
      <c r="F29" s="68"/>
      <c r="G29" s="69"/>
      <c r="H29" s="68"/>
      <c r="I29" s="68"/>
      <c r="J29" s="99"/>
      <c r="K29" s="21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20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10" t="str">
        <f>IF(D29="","",IF(E28="ND",VLOOKUP(D29,Datenblatt!$A$2:$C$31,3,FALSE)-1,IF(E28="ND12,5",VLOOKUP(D29,Datenblatt!$A$2:$C$31,3,FALSE)-0.5,VLOOKUP(D29,Datenblatt!$A$2:$C$31,3,FALSE))))</f>
        <v/>
      </c>
      <c r="N29" s="211" t="str">
        <f t="shared" si="2"/>
        <v/>
      </c>
      <c r="O29" s="211" t="str">
        <f t="shared" si="3"/>
        <v/>
      </c>
      <c r="P29" s="186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103" t="str">
        <f>IF(D29="","",VLOOKUP(D29,Datenblatt!$A$2:$D$31,4,FALSE))</f>
        <v/>
      </c>
      <c r="R29" s="104" t="str">
        <f>IF(E29="","",VLOOKUP(E29,Datenblatt!$E$2:$G$28,2,FALSE))</f>
        <v/>
      </c>
      <c r="S29" s="105"/>
      <c r="T29" s="111">
        <f t="shared" si="4"/>
        <v>0</v>
      </c>
      <c r="U29" s="114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12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12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54">
        <f t="array" ref="X29">IF(T29=0,0,IF((AND((ROW(T29)=MATCH(TRUE,($T$1:$T$44)&gt;0,0)))),IF(W29&gt;=6,W29-6,0),IF(W29&gt;=2,2,W29)))</f>
        <v>0</v>
      </c>
      <c r="Y29" s="254">
        <f t="array" ref="Y29">IF(T28=0,0,(IF((AND((ROW(T28)=MATCH(TRUE,($T$1:$T$44)&gt;0,0)))),IF(W28&gt;=6,6,W28),IF(W28&gt;=2,W28-2,0))))</f>
        <v>0</v>
      </c>
      <c r="Z29" s="111" t="str">
        <f t="shared" si="1"/>
        <v/>
      </c>
      <c r="AA29" s="214">
        <f>IF(E28="ND",IF(ISERROR(MATCH(D29,Datenblatt!$L$2:$L$18,0)),3,2),IF(E28="ND12,5",IF(ISERROR(MATCH(D29,Datenblatt!$L$2:$L$18,0)),2.5,2),0))</f>
        <v>0</v>
      </c>
      <c r="AB29" s="214">
        <f>IF((IF(E29="ND",14-IF(D29="",0,VLOOKUP(D29,Datenblatt!$L$2:$M$30,2,FALSE)),IF(E29="ND12,5",2,0)))&lt;0,0,(IF(E29="ND",14-IF(D29="",0,VLOOKUP(D29,Datenblatt!$L$2:$M$30,2,FALSE)),IF(E29="ND12,5",2,0))))</f>
        <v>0</v>
      </c>
      <c r="AC29" s="214">
        <f t="shared" si="6"/>
        <v>0</v>
      </c>
      <c r="AD29" s="214">
        <f t="shared" si="7"/>
        <v>0</v>
      </c>
      <c r="AE29" s="214">
        <f t="shared" si="8"/>
        <v>0</v>
      </c>
      <c r="AF29" s="112">
        <f t="shared" si="9"/>
        <v>0</v>
      </c>
      <c r="AG29" s="299">
        <f t="shared" si="10"/>
        <v>0</v>
      </c>
      <c r="AH29" s="112">
        <f>IF(E29="",0,VLOOKUP(E29,Datenblatt!$E$2:$G$28,3,FALSE))</f>
        <v>0</v>
      </c>
    </row>
    <row r="30" spans="1:34" ht="13" customHeight="1">
      <c r="A30" s="89" t="str">
        <f>IF(ISERROR(VLOOKUP(C30,Datenblatt!$B$84:$B$97,1,FALSE)),"","Ft")</f>
        <v/>
      </c>
      <c r="B30" s="84">
        <f t="shared" si="0"/>
        <v>45308</v>
      </c>
      <c r="C30" s="86">
        <f t="shared" si="5"/>
        <v>45308</v>
      </c>
      <c r="D30" s="67"/>
      <c r="E30" s="67"/>
      <c r="F30" s="68"/>
      <c r="G30" s="69"/>
      <c r="H30" s="68"/>
      <c r="I30" s="68"/>
      <c r="J30" s="99"/>
      <c r="K30" s="21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20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10" t="str">
        <f>IF(D30="","",IF(E29="ND",VLOOKUP(D30,Datenblatt!$A$2:$C$31,3,FALSE)-1,IF(E29="ND12,5",VLOOKUP(D30,Datenblatt!$A$2:$C$31,3,FALSE)-0.5,VLOOKUP(D30,Datenblatt!$A$2:$C$31,3,FALSE))))</f>
        <v/>
      </c>
      <c r="N30" s="211" t="str">
        <f t="shared" si="2"/>
        <v/>
      </c>
      <c r="O30" s="211" t="str">
        <f t="shared" si="3"/>
        <v/>
      </c>
      <c r="P30" s="186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103" t="str">
        <f>IF(D30="","",VLOOKUP(D30,Datenblatt!$A$2:$D$31,4,FALSE))</f>
        <v/>
      </c>
      <c r="R30" s="104" t="str">
        <f>IF(E30="","",VLOOKUP(E30,Datenblatt!$E$2:$G$28,2,FALSE))</f>
        <v/>
      </c>
      <c r="S30" s="105"/>
      <c r="T30" s="111">
        <f t="shared" si="4"/>
        <v>0</v>
      </c>
      <c r="U30" s="114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12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12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54">
        <f t="array" ref="X30">IF(T30=0,0,IF((AND((ROW(T30)=MATCH(TRUE,($T$1:$T$44)&gt;0,0)))),IF(W30&gt;=6,W30-6,0),IF(W30&gt;=2,2,W30)))</f>
        <v>0</v>
      </c>
      <c r="Y30" s="254">
        <f t="array" ref="Y30">IF(T29=0,0,(IF((AND((ROW(T29)=MATCH(TRUE,($T$1:$T$44)&gt;0,0)))),IF(W29&gt;=6,6,W29),IF(W29&gt;=2,W29-2,0))))</f>
        <v>0</v>
      </c>
      <c r="Z30" s="111" t="str">
        <f t="shared" si="1"/>
        <v/>
      </c>
      <c r="AA30" s="214">
        <f>IF(E29="ND",IF(ISERROR(MATCH(D30,Datenblatt!$L$2:$L$18,0)),3,2),IF(E29="ND12,5",IF(ISERROR(MATCH(D30,Datenblatt!$L$2:$L$18,0)),2.5,2),0))</f>
        <v>0</v>
      </c>
      <c r="AB30" s="214">
        <f>IF((IF(E30="ND",14-IF(D30="",0,VLOOKUP(D30,Datenblatt!$L$2:$M$30,2,FALSE)),IF(E30="ND12,5",2,0)))&lt;0,0,(IF(E30="ND",14-IF(D30="",0,VLOOKUP(D30,Datenblatt!$L$2:$M$30,2,FALSE)),IF(E30="ND12,5",2,0))))</f>
        <v>0</v>
      </c>
      <c r="AC30" s="214">
        <f t="shared" si="6"/>
        <v>0</v>
      </c>
      <c r="AD30" s="214">
        <f t="shared" si="7"/>
        <v>0</v>
      </c>
      <c r="AE30" s="214">
        <f t="shared" si="8"/>
        <v>0</v>
      </c>
      <c r="AF30" s="112">
        <f t="shared" si="9"/>
        <v>0</v>
      </c>
      <c r="AG30" s="299">
        <f t="shared" si="10"/>
        <v>0</v>
      </c>
      <c r="AH30" s="112">
        <f>IF(E30="",0,VLOOKUP(E30,Datenblatt!$E$2:$G$28,3,FALSE))</f>
        <v>0</v>
      </c>
    </row>
    <row r="31" spans="1:34" ht="13" customHeight="1">
      <c r="A31" s="89" t="str">
        <f>IF(ISERROR(VLOOKUP(C31,Datenblatt!$B$84:$B$97,1,FALSE)),"","Ft")</f>
        <v/>
      </c>
      <c r="B31" s="84">
        <f t="shared" si="0"/>
        <v>45309</v>
      </c>
      <c r="C31" s="86">
        <f t="shared" si="5"/>
        <v>45309</v>
      </c>
      <c r="D31" s="67"/>
      <c r="E31" s="67"/>
      <c r="F31" s="68"/>
      <c r="G31" s="69"/>
      <c r="H31" s="68"/>
      <c r="I31" s="68"/>
      <c r="J31" s="99"/>
      <c r="K31" s="21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20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10" t="str">
        <f>IF(D31="","",IF(E30="ND",VLOOKUP(D31,Datenblatt!$A$2:$C$31,3,FALSE)-1,IF(E30="ND12,5",VLOOKUP(D31,Datenblatt!$A$2:$C$31,3,FALSE)-0.5,VLOOKUP(D31,Datenblatt!$A$2:$C$31,3,FALSE))))</f>
        <v/>
      </c>
      <c r="N31" s="211" t="str">
        <f t="shared" si="2"/>
        <v/>
      </c>
      <c r="O31" s="211" t="str">
        <f t="shared" si="3"/>
        <v/>
      </c>
      <c r="P31" s="186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103" t="str">
        <f>IF(D31="","",VLOOKUP(D31,Datenblatt!$A$2:$D$31,4,FALSE))</f>
        <v/>
      </c>
      <c r="R31" s="104" t="str">
        <f>IF(E31="","",VLOOKUP(E31,Datenblatt!$E$2:$G$28,2,FALSE))</f>
        <v/>
      </c>
      <c r="S31" s="105"/>
      <c r="T31" s="111">
        <f t="shared" si="4"/>
        <v>0</v>
      </c>
      <c r="U31" s="114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12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12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54">
        <f t="array" ref="X31">IF(T31=0,0,IF((AND((ROW(T31)=MATCH(TRUE,($T$1:$T$44)&gt;0,0)))),IF(W31&gt;=6,W31-6,0),IF(W31&gt;=2,2,W31)))</f>
        <v>0</v>
      </c>
      <c r="Y31" s="254">
        <f t="array" ref="Y31">IF(T30=0,0,(IF((AND((ROW(T30)=MATCH(TRUE,($T$1:$T$44)&gt;0,0)))),IF(W30&gt;=6,6,W30),IF(W30&gt;=2,W30-2,0))))</f>
        <v>0</v>
      </c>
      <c r="Z31" s="111" t="str">
        <f t="shared" si="1"/>
        <v/>
      </c>
      <c r="AA31" s="214">
        <f>IF(E30="ND",IF(ISERROR(MATCH(D31,Datenblatt!$L$2:$L$18,0)),3,2),IF(E30="ND12,5",IF(ISERROR(MATCH(D31,Datenblatt!$L$2:$L$18,0)),2.5,2),0))</f>
        <v>0</v>
      </c>
      <c r="AB31" s="214">
        <f>IF((IF(E31="ND",14-IF(D31="",0,VLOOKUP(D31,Datenblatt!$L$2:$M$30,2,FALSE)),IF(E31="ND12,5",2,0)))&lt;0,0,(IF(E31="ND",14-IF(D31="",0,VLOOKUP(D31,Datenblatt!$L$2:$M$30,2,FALSE)),IF(E31="ND12,5",2,0))))</f>
        <v>0</v>
      </c>
      <c r="AC31" s="214">
        <f t="shared" si="6"/>
        <v>0</v>
      </c>
      <c r="AD31" s="214">
        <f t="shared" si="7"/>
        <v>0</v>
      </c>
      <c r="AE31" s="214">
        <f t="shared" si="8"/>
        <v>0</v>
      </c>
      <c r="AF31" s="112">
        <f t="shared" si="9"/>
        <v>0</v>
      </c>
      <c r="AG31" s="299">
        <f t="shared" si="10"/>
        <v>0</v>
      </c>
      <c r="AH31" s="112">
        <f>IF(E31="",0,VLOOKUP(E31,Datenblatt!$E$2:$G$28,3,FALSE))</f>
        <v>0</v>
      </c>
    </row>
    <row r="32" spans="1:34" ht="13" customHeight="1">
      <c r="A32" s="89" t="str">
        <f>IF(ISERROR(VLOOKUP(C32,Datenblatt!$B$84:$B$97,1,FALSE)),"","Ft")</f>
        <v/>
      </c>
      <c r="B32" s="84">
        <f t="shared" si="0"/>
        <v>45310</v>
      </c>
      <c r="C32" s="86">
        <f t="shared" si="5"/>
        <v>45310</v>
      </c>
      <c r="D32" s="67"/>
      <c r="E32" s="67"/>
      <c r="F32" s="68"/>
      <c r="G32" s="69"/>
      <c r="H32" s="68"/>
      <c r="I32" s="68"/>
      <c r="J32" s="99"/>
      <c r="K32" s="21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20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10" t="str">
        <f>IF(D32="","",IF(E31="ND",VLOOKUP(D32,Datenblatt!$A$2:$C$31,3,FALSE)-1,IF(E31="ND12,5",VLOOKUP(D32,Datenblatt!$A$2:$C$31,3,FALSE)-0.5,VLOOKUP(D32,Datenblatt!$A$2:$C$31,3,FALSE))))</f>
        <v/>
      </c>
      <c r="N32" s="211" t="str">
        <f t="shared" si="2"/>
        <v/>
      </c>
      <c r="O32" s="211" t="str">
        <f t="shared" si="3"/>
        <v/>
      </c>
      <c r="P32" s="186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103" t="str">
        <f>IF(D32="","",VLOOKUP(D32,Datenblatt!$A$2:$D$31,4,FALSE))</f>
        <v/>
      </c>
      <c r="R32" s="104" t="str">
        <f>IF(E32="","",VLOOKUP(E32,Datenblatt!$E$2:$G$28,2,FALSE))</f>
        <v/>
      </c>
      <c r="S32" s="105"/>
      <c r="T32" s="111">
        <f t="shared" si="4"/>
        <v>0</v>
      </c>
      <c r="U32" s="114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12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12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54">
        <f t="array" ref="X32">IF(T32=0,0,IF((AND((ROW(T32)=MATCH(TRUE,($T$1:$T$44)&gt;0,0)))),IF(W32&gt;=6,W32-6,0),IF(W32&gt;=2,2,W32)))</f>
        <v>0</v>
      </c>
      <c r="Y32" s="254">
        <f t="array" ref="Y32">IF(T31=0,0,(IF((AND((ROW(T31)=MATCH(TRUE,($T$1:$T$44)&gt;0,0)))),IF(W31&gt;=6,6,W31),IF(W31&gt;=2,W31-2,0))))</f>
        <v>0</v>
      </c>
      <c r="Z32" s="111" t="str">
        <f t="shared" si="1"/>
        <v/>
      </c>
      <c r="AA32" s="214">
        <f>IF(E31="ND",IF(ISERROR(MATCH(D32,Datenblatt!$L$2:$L$18,0)),3,2),IF(E31="ND12,5",IF(ISERROR(MATCH(D32,Datenblatt!$L$2:$L$18,0)),2.5,2),0))</f>
        <v>0</v>
      </c>
      <c r="AB32" s="214">
        <f>IF((IF(E32="ND",14-IF(D32="",0,VLOOKUP(D32,Datenblatt!$L$2:$M$30,2,FALSE)),IF(E32="ND12,5",2,0)))&lt;0,0,(IF(E32="ND",14-IF(D32="",0,VLOOKUP(D32,Datenblatt!$L$2:$M$30,2,FALSE)),IF(E32="ND12,5",2,0))))</f>
        <v>0</v>
      </c>
      <c r="AC32" s="214">
        <f t="shared" si="6"/>
        <v>0</v>
      </c>
      <c r="AD32" s="214">
        <f t="shared" si="7"/>
        <v>0</v>
      </c>
      <c r="AE32" s="214">
        <f t="shared" si="8"/>
        <v>0</v>
      </c>
      <c r="AF32" s="112">
        <f t="shared" si="9"/>
        <v>0</v>
      </c>
      <c r="AG32" s="299">
        <f t="shared" si="10"/>
        <v>0</v>
      </c>
      <c r="AH32" s="112">
        <f>IF(E32="",0,VLOOKUP(E32,Datenblatt!$E$2:$G$28,3,FALSE))</f>
        <v>0</v>
      </c>
    </row>
    <row r="33" spans="1:34" ht="13" customHeight="1">
      <c r="A33" s="89" t="str">
        <f>IF(ISERROR(VLOOKUP(C33,Datenblatt!$B$84:$B$97,1,FALSE)),"","Ft")</f>
        <v/>
      </c>
      <c r="B33" s="84">
        <f t="shared" si="0"/>
        <v>45311</v>
      </c>
      <c r="C33" s="86">
        <f t="shared" si="5"/>
        <v>45311</v>
      </c>
      <c r="D33" s="67"/>
      <c r="E33" s="67"/>
      <c r="F33" s="68"/>
      <c r="G33" s="69"/>
      <c r="H33" s="68"/>
      <c r="I33" s="68"/>
      <c r="J33" s="99"/>
      <c r="K33" s="21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20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10" t="str">
        <f>IF(D33="","",IF(E32="ND",VLOOKUP(D33,Datenblatt!$A$2:$C$31,3,FALSE)-1,IF(E32="ND12,5",VLOOKUP(D33,Datenblatt!$A$2:$C$31,3,FALSE)-0.5,VLOOKUP(D33,Datenblatt!$A$2:$C$31,3,FALSE))))</f>
        <v/>
      </c>
      <c r="N33" s="211" t="str">
        <f t="shared" si="2"/>
        <v/>
      </c>
      <c r="O33" s="211" t="str">
        <f t="shared" si="3"/>
        <v/>
      </c>
      <c r="P33" s="186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103" t="str">
        <f>IF(D33="","",VLOOKUP(D33,Datenblatt!$A$2:$D$31,4,FALSE))</f>
        <v/>
      </c>
      <c r="R33" s="104" t="str">
        <f>IF(E33="","",VLOOKUP(E33,Datenblatt!$E$2:$G$28,2,FALSE))</f>
        <v/>
      </c>
      <c r="S33" s="105"/>
      <c r="T33" s="111">
        <f t="shared" si="4"/>
        <v>0</v>
      </c>
      <c r="U33" s="114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12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12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54">
        <f t="array" ref="X33">IF(T33=0,0,IF((AND((ROW(T33)=MATCH(TRUE,($T$1:$T$44)&gt;0,0)))),IF(W33&gt;=6,W33-6,0),IF(W33&gt;=2,2,W33)))</f>
        <v>0</v>
      </c>
      <c r="Y33" s="254">
        <f t="array" ref="Y33">IF(T32=0,0,(IF((AND((ROW(T32)=MATCH(TRUE,($T$1:$T$44)&gt;0,0)))),IF(W32&gt;=6,6,W32),IF(W32&gt;=2,W32-2,0))))</f>
        <v>0</v>
      </c>
      <c r="Z33" s="111" t="str">
        <f t="shared" si="1"/>
        <v/>
      </c>
      <c r="AA33" s="214">
        <f>IF(E32="ND",IF(ISERROR(MATCH(D33,Datenblatt!$L$2:$L$18,0)),3,2),IF(E32="ND12,5",IF(ISERROR(MATCH(D33,Datenblatt!$L$2:$L$18,0)),2.5,2),0))</f>
        <v>0</v>
      </c>
      <c r="AB33" s="214">
        <f>IF((IF(E33="ND",14-IF(D33="",0,VLOOKUP(D33,Datenblatt!$L$2:$M$30,2,FALSE)),IF(E33="ND12,5",2,0)))&lt;0,0,(IF(E33="ND",14-IF(D33="",0,VLOOKUP(D33,Datenblatt!$L$2:$M$30,2,FALSE)),IF(E33="ND12,5",2,0))))</f>
        <v>0</v>
      </c>
      <c r="AC33" s="214">
        <f t="shared" si="6"/>
        <v>0</v>
      </c>
      <c r="AD33" s="214">
        <f t="shared" si="7"/>
        <v>0</v>
      </c>
      <c r="AE33" s="214">
        <f t="shared" si="8"/>
        <v>0</v>
      </c>
      <c r="AF33" s="112">
        <f t="shared" si="9"/>
        <v>0</v>
      </c>
      <c r="AG33" s="299">
        <f t="shared" si="10"/>
        <v>0</v>
      </c>
      <c r="AH33" s="112">
        <f>IF(E33="",0,VLOOKUP(E33,Datenblatt!$E$2:$G$28,3,FALSE))</f>
        <v>0</v>
      </c>
    </row>
    <row r="34" spans="1:34" ht="13" customHeight="1">
      <c r="A34" s="89" t="str">
        <f>IF(ISERROR(VLOOKUP(C34,Datenblatt!$B$84:$B$97,1,FALSE)),"","Ft")</f>
        <v/>
      </c>
      <c r="B34" s="84">
        <f t="shared" si="0"/>
        <v>45312</v>
      </c>
      <c r="C34" s="86">
        <f t="shared" si="5"/>
        <v>45312</v>
      </c>
      <c r="D34" s="67"/>
      <c r="E34" s="67"/>
      <c r="F34" s="68"/>
      <c r="G34" s="69"/>
      <c r="H34" s="68"/>
      <c r="I34" s="68"/>
      <c r="J34" s="99"/>
      <c r="K34" s="21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20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10" t="str">
        <f>IF(D34="","",IF(E33="ND",VLOOKUP(D34,Datenblatt!$A$2:$C$31,3,FALSE)-1,IF(E33="ND12,5",VLOOKUP(D34,Datenblatt!$A$2:$C$31,3,FALSE)-0.5,VLOOKUP(D34,Datenblatt!$A$2:$C$31,3,FALSE))))</f>
        <v/>
      </c>
      <c r="N34" s="211" t="str">
        <f t="shared" si="2"/>
        <v/>
      </c>
      <c r="O34" s="211">
        <f t="shared" si="3"/>
        <v>0</v>
      </c>
      <c r="P34" s="186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103" t="str">
        <f>IF(D34="","",VLOOKUP(D34,Datenblatt!$A$2:$D$31,4,FALSE))</f>
        <v/>
      </c>
      <c r="R34" s="104" t="str">
        <f>IF(E34="","",VLOOKUP(E34,Datenblatt!$E$2:$G$28,2,FALSE))</f>
        <v/>
      </c>
      <c r="S34" s="105"/>
      <c r="T34" s="111">
        <f t="shared" si="4"/>
        <v>0</v>
      </c>
      <c r="U34" s="114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12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12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54">
        <f t="array" ref="X34">IF(T34=0,0,IF((AND((ROW(T34)=MATCH(TRUE,($T$1:$T$44)&gt;0,0)))),IF(W34&gt;=6,W34-6,0),IF(W34&gt;=2,2,W34)))</f>
        <v>0</v>
      </c>
      <c r="Y34" s="254">
        <f t="array" ref="Y34">IF(T33=0,0,(IF((AND((ROW(T33)=MATCH(TRUE,($T$1:$T$44)&gt;0,0)))),IF(W33&gt;=6,6,W33),IF(W33&gt;=2,W33-2,0))))</f>
        <v>0</v>
      </c>
      <c r="Z34" s="111" t="str">
        <f t="shared" si="1"/>
        <v/>
      </c>
      <c r="AA34" s="214">
        <f>IF(E33="ND",IF(ISERROR(MATCH(D34,Datenblatt!$L$2:$L$18,0)),3,2),IF(E33="ND12,5",IF(ISERROR(MATCH(D34,Datenblatt!$L$2:$L$18,0)),2.5,2),0))</f>
        <v>0</v>
      </c>
      <c r="AB34" s="214">
        <f>IF((IF(E34="ND",14-IF(D34="",0,VLOOKUP(D34,Datenblatt!$L$2:$M$30,2,FALSE)),IF(E34="ND12,5",2,0)))&lt;0,0,(IF(E34="ND",14-IF(D34="",0,VLOOKUP(D34,Datenblatt!$L$2:$M$30,2,FALSE)),IF(E34="ND12,5",2,0))))</f>
        <v>0</v>
      </c>
      <c r="AC34" s="214">
        <f t="shared" si="6"/>
        <v>0</v>
      </c>
      <c r="AD34" s="214">
        <f t="shared" si="7"/>
        <v>0</v>
      </c>
      <c r="AE34" s="214">
        <f t="shared" si="8"/>
        <v>0</v>
      </c>
      <c r="AF34" s="112">
        <f t="shared" si="9"/>
        <v>0</v>
      </c>
      <c r="AG34" s="299">
        <f t="shared" si="10"/>
        <v>0</v>
      </c>
      <c r="AH34" s="112">
        <f>IF(E34="",0,VLOOKUP(E34,Datenblatt!$E$2:$G$28,3,FALSE))</f>
        <v>0</v>
      </c>
    </row>
    <row r="35" spans="1:34" ht="13" customHeight="1">
      <c r="A35" s="89" t="str">
        <f>IF(ISERROR(VLOOKUP(C35,Datenblatt!$B$84:$B$97,1,FALSE)),"","Ft")</f>
        <v/>
      </c>
      <c r="B35" s="84">
        <f t="shared" si="0"/>
        <v>45313</v>
      </c>
      <c r="C35" s="86">
        <f t="shared" si="5"/>
        <v>45313</v>
      </c>
      <c r="D35" s="67"/>
      <c r="E35" s="67"/>
      <c r="F35" s="68"/>
      <c r="G35" s="69"/>
      <c r="H35" s="68"/>
      <c r="I35" s="68"/>
      <c r="J35" s="99"/>
      <c r="K35" s="21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20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10" t="str">
        <f>IF(D35="","",IF(E34="ND",VLOOKUP(D35,Datenblatt!$A$2:$C$31,3,FALSE)-1,IF(E34="ND12,5",VLOOKUP(D35,Datenblatt!$A$2:$C$31,3,FALSE)-0.5,VLOOKUP(D35,Datenblatt!$A$2:$C$31,3,FALSE))))</f>
        <v/>
      </c>
      <c r="N35" s="211" t="str">
        <f t="shared" si="2"/>
        <v/>
      </c>
      <c r="O35" s="211" t="str">
        <f t="shared" si="3"/>
        <v/>
      </c>
      <c r="P35" s="186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103" t="str">
        <f>IF(D35="","",VLOOKUP(D35,Datenblatt!$A$2:$D$31,4,FALSE))</f>
        <v/>
      </c>
      <c r="R35" s="104" t="str">
        <f>IF(E35="","",VLOOKUP(E35,Datenblatt!$E$2:$G$28,2,FALSE))</f>
        <v/>
      </c>
      <c r="S35" s="105"/>
      <c r="T35" s="111">
        <f t="shared" si="4"/>
        <v>0</v>
      </c>
      <c r="U35" s="114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12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12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54">
        <f t="array" ref="X35">IF(T35=0,0,IF((AND((ROW(T35)=MATCH(TRUE,($T$1:$T$44)&gt;0,0)))),IF(W35&gt;=6,W35-6,0),IF(W35&gt;=2,2,W35)))</f>
        <v>0</v>
      </c>
      <c r="Y35" s="254">
        <f t="array" ref="Y35">IF(T34=0,0,(IF((AND((ROW(T34)=MATCH(TRUE,($T$1:$T$44)&gt;0,0)))),IF(W34&gt;=6,6,W34),IF(W34&gt;=2,W34-2,0))))</f>
        <v>0</v>
      </c>
      <c r="Z35" s="111" t="str">
        <f t="shared" si="1"/>
        <v/>
      </c>
      <c r="AA35" s="214">
        <f>IF(E34="ND",IF(ISERROR(MATCH(D35,Datenblatt!$L$2:$L$18,0)),3,2),IF(E34="ND12,5",IF(ISERROR(MATCH(D35,Datenblatt!$L$2:$L$18,0)),2.5,2),0))</f>
        <v>0</v>
      </c>
      <c r="AB35" s="214">
        <f>IF((IF(E35="ND",14-IF(D35="",0,VLOOKUP(D35,Datenblatt!$L$2:$M$30,2,FALSE)),IF(E35="ND12,5",2,0)))&lt;0,0,(IF(E35="ND",14-IF(D35="",0,VLOOKUP(D35,Datenblatt!$L$2:$M$30,2,FALSE)),IF(E35="ND12,5",2,0))))</f>
        <v>0</v>
      </c>
      <c r="AC35" s="214">
        <f t="shared" si="6"/>
        <v>0</v>
      </c>
      <c r="AD35" s="214">
        <f t="shared" si="7"/>
        <v>0</v>
      </c>
      <c r="AE35" s="214">
        <f t="shared" si="8"/>
        <v>0</v>
      </c>
      <c r="AF35" s="112">
        <f t="shared" si="9"/>
        <v>0</v>
      </c>
      <c r="AG35" s="299">
        <f t="shared" si="10"/>
        <v>0</v>
      </c>
      <c r="AH35" s="112">
        <f>IF(E35="",0,VLOOKUP(E35,Datenblatt!$E$2:$G$28,3,FALSE))</f>
        <v>0</v>
      </c>
    </row>
    <row r="36" spans="1:34" ht="13" customHeight="1">
      <c r="A36" s="89" t="str">
        <f>IF(ISERROR(VLOOKUP(C36,Datenblatt!$B$84:$B$97,1,FALSE)),"","Ft")</f>
        <v/>
      </c>
      <c r="B36" s="84">
        <f t="shared" si="0"/>
        <v>45314</v>
      </c>
      <c r="C36" s="86">
        <f t="shared" si="5"/>
        <v>45314</v>
      </c>
      <c r="D36" s="67"/>
      <c r="E36" s="67"/>
      <c r="F36" s="68"/>
      <c r="G36" s="69"/>
      <c r="H36" s="68"/>
      <c r="I36" s="68"/>
      <c r="J36" s="99"/>
      <c r="K36" s="21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20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10" t="str">
        <f>IF(D36="","",IF(E35="ND",VLOOKUP(D36,Datenblatt!$A$2:$C$31,3,FALSE)-1,IF(E35="ND12,5",VLOOKUP(D36,Datenblatt!$A$2:$C$31,3,FALSE)-0.5,VLOOKUP(D36,Datenblatt!$A$2:$C$31,3,FALSE))))</f>
        <v/>
      </c>
      <c r="N36" s="211" t="str">
        <f t="shared" si="2"/>
        <v/>
      </c>
      <c r="O36" s="211" t="str">
        <f t="shared" si="3"/>
        <v/>
      </c>
      <c r="P36" s="186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103" t="str">
        <f>IF(D36="","",VLOOKUP(D36,Datenblatt!$A$2:$D$31,4,FALSE))</f>
        <v/>
      </c>
      <c r="R36" s="104" t="str">
        <f>IF(E36="","",VLOOKUP(E36,Datenblatt!$E$2:$G$28,2,FALSE))</f>
        <v/>
      </c>
      <c r="S36" s="105"/>
      <c r="T36" s="111">
        <f t="shared" si="4"/>
        <v>0</v>
      </c>
      <c r="U36" s="114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12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12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54">
        <f t="array" ref="X36">IF(T36=0,0,IF((AND((ROW(T36)=MATCH(TRUE,($T$1:$T$44)&gt;0,0)))),IF(W36&gt;=6,W36-6,0),IF(W36&gt;=2,2,W36)))</f>
        <v>0</v>
      </c>
      <c r="Y36" s="254">
        <f t="array" ref="Y36">IF(T35=0,0,(IF((AND((ROW(T35)=MATCH(TRUE,($T$1:$T$44)&gt;0,0)))),IF(W35&gt;=6,6,W35),IF(W35&gt;=2,W35-2,0))))</f>
        <v>0</v>
      </c>
      <c r="Z36" s="111" t="str">
        <f t="shared" si="1"/>
        <v/>
      </c>
      <c r="AA36" s="214">
        <f>IF(E35="ND",IF(ISERROR(MATCH(D36,Datenblatt!$L$2:$L$18,0)),3,2),IF(E35="ND12,5",IF(ISERROR(MATCH(D36,Datenblatt!$L$2:$L$18,0)),2.5,2),0))</f>
        <v>0</v>
      </c>
      <c r="AB36" s="214">
        <f>IF((IF(E36="ND",14-IF(D36="",0,VLOOKUP(D36,Datenblatt!$L$2:$M$30,2,FALSE)),IF(E36="ND12,5",2,0)))&lt;0,0,(IF(E36="ND",14-IF(D36="",0,VLOOKUP(D36,Datenblatt!$L$2:$M$30,2,FALSE)),IF(E36="ND12,5",2,0))))</f>
        <v>0</v>
      </c>
      <c r="AC36" s="214">
        <f t="shared" si="6"/>
        <v>0</v>
      </c>
      <c r="AD36" s="214">
        <f t="shared" si="7"/>
        <v>0</v>
      </c>
      <c r="AE36" s="214">
        <f t="shared" si="8"/>
        <v>0</v>
      </c>
      <c r="AF36" s="112">
        <f t="shared" si="9"/>
        <v>0</v>
      </c>
      <c r="AG36" s="299">
        <f t="shared" si="10"/>
        <v>0</v>
      </c>
      <c r="AH36" s="112">
        <f>IF(E36="",0,VLOOKUP(E36,Datenblatt!$E$2:$G$28,3,FALSE))</f>
        <v>0</v>
      </c>
    </row>
    <row r="37" spans="1:34" ht="13" customHeight="1">
      <c r="A37" s="89" t="str">
        <f>IF(ISERROR(VLOOKUP(C37,Datenblatt!$B$84:$B$97,1,FALSE)),"","Ft")</f>
        <v/>
      </c>
      <c r="B37" s="84">
        <f t="shared" si="0"/>
        <v>45315</v>
      </c>
      <c r="C37" s="86">
        <f t="shared" si="5"/>
        <v>45315</v>
      </c>
      <c r="D37" s="67"/>
      <c r="E37" s="67"/>
      <c r="F37" s="68"/>
      <c r="G37" s="69"/>
      <c r="H37" s="68"/>
      <c r="I37" s="68"/>
      <c r="J37" s="99"/>
      <c r="K37" s="21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20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10" t="str">
        <f>IF(D37="","",IF(E36="ND",VLOOKUP(D37,Datenblatt!$A$2:$C$31,3,FALSE)-1,IF(E36="ND12,5",VLOOKUP(D37,Datenblatt!$A$2:$C$31,3,FALSE)-0.5,VLOOKUP(D37,Datenblatt!$A$2:$C$31,3,FALSE))))</f>
        <v/>
      </c>
      <c r="N37" s="211" t="str">
        <f t="shared" si="2"/>
        <v/>
      </c>
      <c r="O37" s="211" t="str">
        <f t="shared" si="3"/>
        <v/>
      </c>
      <c r="P37" s="186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103" t="str">
        <f>IF(D37="","",VLOOKUP(D37,Datenblatt!$A$2:$D$31,4,FALSE))</f>
        <v/>
      </c>
      <c r="R37" s="104" t="str">
        <f>IF(E37="","",VLOOKUP(E37,Datenblatt!$E$2:$G$28,2,FALSE))</f>
        <v/>
      </c>
      <c r="S37" s="105"/>
      <c r="T37" s="111">
        <f t="shared" si="4"/>
        <v>0</v>
      </c>
      <c r="U37" s="114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12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12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54">
        <f t="array" ref="X37">IF(T37=0,0,IF((AND((ROW(T37)=MATCH(TRUE,($T$1:$T$44)&gt;0,0)))),IF(W37&gt;=6,W37-6,0),IF(W37&gt;=2,2,W37)))</f>
        <v>0</v>
      </c>
      <c r="Y37" s="254">
        <f t="array" ref="Y37">IF(T36=0,0,(IF((AND((ROW(T36)=MATCH(TRUE,($T$1:$T$44)&gt;0,0)))),IF(W36&gt;=6,6,W36),IF(W36&gt;=2,W36-2,0))))</f>
        <v>0</v>
      </c>
      <c r="Z37" s="111" t="str">
        <f t="shared" si="1"/>
        <v/>
      </c>
      <c r="AA37" s="214">
        <f>IF(E36="ND",IF(ISERROR(MATCH(D37,Datenblatt!$L$2:$L$18,0)),3,2),IF(E36="ND12,5",IF(ISERROR(MATCH(D37,Datenblatt!$L$2:$L$18,0)),2.5,2),0))</f>
        <v>0</v>
      </c>
      <c r="AB37" s="214">
        <f>IF((IF(E37="ND",14-IF(D37="",0,VLOOKUP(D37,Datenblatt!$L$2:$M$30,2,FALSE)),IF(E37="ND12,5",2,0)))&lt;0,0,(IF(E37="ND",14-IF(D37="",0,VLOOKUP(D37,Datenblatt!$L$2:$M$30,2,FALSE)),IF(E37="ND12,5",2,0))))</f>
        <v>0</v>
      </c>
      <c r="AC37" s="214">
        <f t="shared" si="6"/>
        <v>0</v>
      </c>
      <c r="AD37" s="214">
        <f t="shared" si="7"/>
        <v>0</v>
      </c>
      <c r="AE37" s="214">
        <f t="shared" si="8"/>
        <v>0</v>
      </c>
      <c r="AF37" s="112">
        <f t="shared" si="9"/>
        <v>0</v>
      </c>
      <c r="AG37" s="299">
        <f t="shared" si="10"/>
        <v>0</v>
      </c>
      <c r="AH37" s="112">
        <f>IF(E37="",0,VLOOKUP(E37,Datenblatt!$E$2:$G$28,3,FALSE))</f>
        <v>0</v>
      </c>
    </row>
    <row r="38" spans="1:34" ht="13" customHeight="1">
      <c r="A38" s="89" t="str">
        <f>IF(ISERROR(VLOOKUP(C38,Datenblatt!$B$84:$B$97,1,FALSE)),"","Ft")</f>
        <v/>
      </c>
      <c r="B38" s="84">
        <f t="shared" si="0"/>
        <v>45316</v>
      </c>
      <c r="C38" s="86">
        <f t="shared" si="5"/>
        <v>45316</v>
      </c>
      <c r="D38" s="67"/>
      <c r="E38" s="67"/>
      <c r="F38" s="68"/>
      <c r="G38" s="69"/>
      <c r="H38" s="68"/>
      <c r="I38" s="68"/>
      <c r="J38" s="99"/>
      <c r="K38" s="21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20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10" t="str">
        <f>IF(D38="","",IF(E37="ND",VLOOKUP(D38,Datenblatt!$A$2:$C$31,3,FALSE)-1,IF(E37="ND12,5",VLOOKUP(D38,Datenblatt!$A$2:$C$31,3,FALSE)-0.5,VLOOKUP(D38,Datenblatt!$A$2:$C$31,3,FALSE))))</f>
        <v/>
      </c>
      <c r="N38" s="211" t="str">
        <f t="shared" si="2"/>
        <v/>
      </c>
      <c r="O38" s="211" t="str">
        <f t="shared" si="3"/>
        <v/>
      </c>
      <c r="P38" s="186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103" t="str">
        <f>IF(D38="","",VLOOKUP(D38,Datenblatt!$A$2:$D$31,4,FALSE))</f>
        <v/>
      </c>
      <c r="R38" s="104" t="str">
        <f>IF(E38="","",VLOOKUP(E38,Datenblatt!$E$2:$G$28,2,FALSE))</f>
        <v/>
      </c>
      <c r="S38" s="105"/>
      <c r="T38" s="111">
        <f t="shared" si="4"/>
        <v>0</v>
      </c>
      <c r="U38" s="114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12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12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54">
        <f t="array" ref="X38">IF(T38=0,0,IF((AND((ROW(T38)=MATCH(TRUE,($T$1:$T$44)&gt;0,0)))),IF(W38&gt;=6,W38-6,0),IF(W38&gt;=2,2,W38)))</f>
        <v>0</v>
      </c>
      <c r="Y38" s="254">
        <f t="array" ref="Y38">IF(T37=0,0,(IF((AND((ROW(T37)=MATCH(TRUE,($T$1:$T$44)&gt;0,0)))),IF(W37&gt;=6,6,W37),IF(W37&gt;=2,W37-2,0))))</f>
        <v>0</v>
      </c>
      <c r="Z38" s="111" t="str">
        <f t="shared" si="1"/>
        <v/>
      </c>
      <c r="AA38" s="214">
        <f>IF(E37="ND",IF(ISERROR(MATCH(D38,Datenblatt!$L$2:$L$18,0)),3,2),IF(E37="ND12,5",IF(ISERROR(MATCH(D38,Datenblatt!$L$2:$L$18,0)),2.5,2),0))</f>
        <v>0</v>
      </c>
      <c r="AB38" s="214">
        <f>IF((IF(E38="ND",14-IF(D38="",0,VLOOKUP(D38,Datenblatt!$L$2:$M$30,2,FALSE)),IF(E38="ND12,5",2,0)))&lt;0,0,(IF(E38="ND",14-IF(D38="",0,VLOOKUP(D38,Datenblatt!$L$2:$M$30,2,FALSE)),IF(E38="ND12,5",2,0))))</f>
        <v>0</v>
      </c>
      <c r="AC38" s="214">
        <f t="shared" si="6"/>
        <v>0</v>
      </c>
      <c r="AD38" s="214">
        <f t="shared" si="7"/>
        <v>0</v>
      </c>
      <c r="AE38" s="214">
        <f t="shared" si="8"/>
        <v>0</v>
      </c>
      <c r="AF38" s="112">
        <f t="shared" si="9"/>
        <v>0</v>
      </c>
      <c r="AG38" s="299">
        <f t="shared" si="10"/>
        <v>0</v>
      </c>
      <c r="AH38" s="112">
        <f>IF(E38="",0,VLOOKUP(E38,Datenblatt!$E$2:$G$28,3,FALSE))</f>
        <v>0</v>
      </c>
    </row>
    <row r="39" spans="1:34" ht="13" customHeight="1">
      <c r="A39" s="89" t="str">
        <f>IF(ISERROR(VLOOKUP(C39,Datenblatt!$B$84:$B$97,1,FALSE)),"","Ft")</f>
        <v/>
      </c>
      <c r="B39" s="84">
        <f t="shared" si="0"/>
        <v>45317</v>
      </c>
      <c r="C39" s="86">
        <f t="shared" si="5"/>
        <v>45317</v>
      </c>
      <c r="D39" s="67"/>
      <c r="E39" s="67"/>
      <c r="F39" s="68"/>
      <c r="G39" s="69"/>
      <c r="H39" s="68"/>
      <c r="I39" s="68"/>
      <c r="J39" s="99"/>
      <c r="K39" s="21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20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10" t="str">
        <f>IF(D39="","",IF(E38="ND",VLOOKUP(D39,Datenblatt!$A$2:$C$31,3,FALSE)-1,IF(E38="ND12,5",VLOOKUP(D39,Datenblatt!$A$2:$C$31,3,FALSE)-0.5,VLOOKUP(D39,Datenblatt!$A$2:$C$31,3,FALSE))))</f>
        <v/>
      </c>
      <c r="N39" s="211" t="str">
        <f t="shared" si="2"/>
        <v/>
      </c>
      <c r="O39" s="211" t="str">
        <f t="shared" si="3"/>
        <v/>
      </c>
      <c r="P39" s="186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103" t="str">
        <f>IF(D39="","",VLOOKUP(D39,Datenblatt!$A$2:$D$31,4,FALSE))</f>
        <v/>
      </c>
      <c r="R39" s="104" t="str">
        <f>IF(E39="","",VLOOKUP(E39,Datenblatt!$E$2:$G$28,2,FALSE))</f>
        <v/>
      </c>
      <c r="S39" s="105"/>
      <c r="T39" s="111">
        <f t="shared" si="4"/>
        <v>0</v>
      </c>
      <c r="U39" s="114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12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12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54">
        <f t="array" ref="X39">IF(T39=0,0,IF((AND((ROW(T39)=MATCH(TRUE,($T$1:$T$44)&gt;0,0)))),IF(W39&gt;=6,W39-6,0),IF(W39&gt;=2,2,W39)))</f>
        <v>0</v>
      </c>
      <c r="Y39" s="254">
        <f t="array" ref="Y39">IF(T38=0,0,(IF((AND((ROW(T38)=MATCH(TRUE,($T$1:$T$44)&gt;0,0)))),IF(W38&gt;=6,6,W38),IF(W38&gt;=2,W38-2,0))))</f>
        <v>0</v>
      </c>
      <c r="Z39" s="111" t="str">
        <f t="shared" si="1"/>
        <v/>
      </c>
      <c r="AA39" s="214">
        <f>IF(E38="ND",IF(ISERROR(MATCH(D39,Datenblatt!$L$2:$L$18,0)),3,2),IF(E38="ND12,5",IF(ISERROR(MATCH(D39,Datenblatt!$L$2:$L$18,0)),2.5,2),0))</f>
        <v>0</v>
      </c>
      <c r="AB39" s="214">
        <f>IF((IF(E39="ND",14-IF(D39="",0,VLOOKUP(D39,Datenblatt!$L$2:$M$30,2,FALSE)),IF(E39="ND12,5",2,0)))&lt;0,0,(IF(E39="ND",14-IF(D39="",0,VLOOKUP(D39,Datenblatt!$L$2:$M$30,2,FALSE)),IF(E39="ND12,5",2,0))))</f>
        <v>0</v>
      </c>
      <c r="AC39" s="214">
        <f t="shared" si="6"/>
        <v>0</v>
      </c>
      <c r="AD39" s="214">
        <f t="shared" si="7"/>
        <v>0</v>
      </c>
      <c r="AE39" s="214">
        <f t="shared" si="8"/>
        <v>0</v>
      </c>
      <c r="AF39" s="112">
        <f t="shared" si="9"/>
        <v>0</v>
      </c>
      <c r="AG39" s="299">
        <f t="shared" si="10"/>
        <v>0</v>
      </c>
      <c r="AH39" s="112">
        <f>IF(E39="",0,VLOOKUP(E39,Datenblatt!$E$2:$G$28,3,FALSE))</f>
        <v>0</v>
      </c>
    </row>
    <row r="40" spans="1:34" ht="13" customHeight="1">
      <c r="A40" s="89" t="str">
        <f>IF(ISERROR(VLOOKUP(C40,Datenblatt!$B$84:$B$97,1,FALSE)),"","Ft")</f>
        <v/>
      </c>
      <c r="B40" s="84">
        <f t="shared" si="0"/>
        <v>45318</v>
      </c>
      <c r="C40" s="86">
        <f t="shared" si="5"/>
        <v>45318</v>
      </c>
      <c r="D40" s="67"/>
      <c r="E40" s="67"/>
      <c r="F40" s="68"/>
      <c r="G40" s="69"/>
      <c r="H40" s="68"/>
      <c r="I40" s="68"/>
      <c r="J40" s="99"/>
      <c r="K40" s="21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20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10" t="str">
        <f>IF(D40="","",IF(E39="ND",VLOOKUP(D40,Datenblatt!$A$2:$C$31,3,FALSE)-1,IF(E39="ND12,5",VLOOKUP(D40,Datenblatt!$A$2:$C$31,3,FALSE)-0.5,VLOOKUP(D40,Datenblatt!$A$2:$C$31,3,FALSE))))</f>
        <v/>
      </c>
      <c r="N40" s="211" t="str">
        <f t="shared" si="2"/>
        <v/>
      </c>
      <c r="O40" s="211" t="str">
        <f t="shared" si="3"/>
        <v/>
      </c>
      <c r="P40" s="186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103" t="str">
        <f>IF(D40="","",VLOOKUP(D40,Datenblatt!$A$2:$D$31,4,FALSE))</f>
        <v/>
      </c>
      <c r="R40" s="104" t="str">
        <f>IF(E40="","",VLOOKUP(E40,Datenblatt!$E$2:$G$28,2,FALSE))</f>
        <v/>
      </c>
      <c r="S40" s="106"/>
      <c r="T40" s="111">
        <f t="shared" si="4"/>
        <v>0</v>
      </c>
      <c r="U40" s="114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12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12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54">
        <f t="array" ref="X40">IF(T40=0,0,IF((AND((ROW(T40)=MATCH(TRUE,($T$1:$T$44)&gt;0,0)))),IF(W40&gt;=6,W40-6,0),IF(W40&gt;=2,2,W40)))</f>
        <v>0</v>
      </c>
      <c r="Y40" s="254">
        <f t="array" ref="Y40">IF(T39=0,0,(IF((AND((ROW(T39)=MATCH(TRUE,($T$1:$T$44)&gt;0,0)))),IF(W39&gt;=6,6,W39),IF(W39&gt;=2,W39-2,0))))</f>
        <v>0</v>
      </c>
      <c r="Z40" s="111" t="str">
        <f t="shared" si="1"/>
        <v/>
      </c>
      <c r="AA40" s="214">
        <f>IF(E39="ND",IF(ISERROR(MATCH(D40,Datenblatt!$L$2:$L$18,0)),3,2),IF(E39="ND12,5",IF(ISERROR(MATCH(D40,Datenblatt!$L$2:$L$18,0)),2.5,2),0))</f>
        <v>0</v>
      </c>
      <c r="AB40" s="214">
        <f>IF((IF(E40="ND",14-IF(D40="",0,VLOOKUP(D40,Datenblatt!$L$2:$M$30,2,FALSE)),IF(E40="ND12,5",2,0)))&lt;0,0,(IF(E40="ND",14-IF(D40="",0,VLOOKUP(D40,Datenblatt!$L$2:$M$30,2,FALSE)),IF(E40="ND12,5",2,0))))</f>
        <v>0</v>
      </c>
      <c r="AC40" s="214">
        <f t="shared" si="6"/>
        <v>0</v>
      </c>
      <c r="AD40" s="214">
        <f t="shared" si="7"/>
        <v>0</v>
      </c>
      <c r="AE40" s="214">
        <f t="shared" si="8"/>
        <v>0</v>
      </c>
      <c r="AF40" s="112">
        <f t="shared" si="9"/>
        <v>0</v>
      </c>
      <c r="AG40" s="299">
        <f t="shared" si="10"/>
        <v>0</v>
      </c>
      <c r="AH40" s="112">
        <f>IF(E40="",0,VLOOKUP(E40,Datenblatt!$E$2:$G$28,3,FALSE))</f>
        <v>0</v>
      </c>
    </row>
    <row r="41" spans="1:34" ht="13" customHeight="1">
      <c r="A41" s="89" t="str">
        <f>IF(ISERROR(VLOOKUP(C41,Datenblatt!$B$84:$B$97,1,FALSE)),"","Ft")</f>
        <v/>
      </c>
      <c r="B41" s="84">
        <f t="shared" si="0"/>
        <v>45319</v>
      </c>
      <c r="C41" s="86">
        <f t="shared" si="5"/>
        <v>45319</v>
      </c>
      <c r="D41" s="67"/>
      <c r="E41" s="67"/>
      <c r="F41" s="68"/>
      <c r="G41" s="69"/>
      <c r="H41" s="68"/>
      <c r="I41" s="68"/>
      <c r="J41" s="99"/>
      <c r="K41" s="21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20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10" t="str">
        <f>IF(D41="","",IF(E40="ND",VLOOKUP(D41,Datenblatt!$A$2:$C$31,3,FALSE)-1,IF(E40="ND12,5",VLOOKUP(D41,Datenblatt!$A$2:$C$31,3,FALSE)-0.5,VLOOKUP(D41,Datenblatt!$A$2:$C$31,3,FALSE))))</f>
        <v/>
      </c>
      <c r="N41" s="211" t="str">
        <f t="shared" si="2"/>
        <v/>
      </c>
      <c r="O41" s="211">
        <f t="shared" si="3"/>
        <v>0</v>
      </c>
      <c r="P41" s="186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103" t="str">
        <f>IF(D41="","",VLOOKUP(D41,Datenblatt!$A$2:$D$31,4,FALSE))</f>
        <v/>
      </c>
      <c r="R41" s="104" t="str">
        <f>IF(E41="","",VLOOKUP(E41,Datenblatt!$E$2:$G$28,2,FALSE))</f>
        <v/>
      </c>
      <c r="S41" s="106"/>
      <c r="T41" s="111">
        <f t="shared" si="4"/>
        <v>0</v>
      </c>
      <c r="U41" s="114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12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12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54">
        <f t="array" ref="X41">IF(T41=0,0,IF((AND((ROW(T41)=MATCH(TRUE,($T$1:$T$44)&gt;0,0)))),IF(W41&gt;=6,W41-6,0),IF(W41&gt;=2,2,W41)))</f>
        <v>0</v>
      </c>
      <c r="Y41" s="254">
        <f t="array" ref="Y41">IF(T40=0,0,(IF((AND((ROW(T40)=MATCH(TRUE,($T$1:$T$44)&gt;0,0)))),IF(W40&gt;=6,6,W40),IF(W40&gt;=2,W40-2,0))))</f>
        <v>0</v>
      </c>
      <c r="Z41" s="111" t="str">
        <f t="shared" si="1"/>
        <v/>
      </c>
      <c r="AA41" s="214">
        <f>IF(E40="ND",IF(ISERROR(MATCH(D41,Datenblatt!$L$2:$L$18,0)),3,2),IF(E40="ND12,5",IF(ISERROR(MATCH(D41,Datenblatt!$L$2:$L$18,0)),2.5,2),0))</f>
        <v>0</v>
      </c>
      <c r="AB41" s="214">
        <f>IF((IF(E41="ND",14-IF(D41="",0,VLOOKUP(D41,Datenblatt!$L$2:$M$30,2,FALSE)),IF(E41="ND12,5",2,0)))&lt;0,0,(IF(E41="ND",14-IF(D41="",0,VLOOKUP(D41,Datenblatt!$L$2:$M$30,2,FALSE)),IF(E41="ND12,5",2,0))))</f>
        <v>0</v>
      </c>
      <c r="AC41" s="214">
        <f t="shared" si="6"/>
        <v>0</v>
      </c>
      <c r="AD41" s="214">
        <f t="shared" si="7"/>
        <v>0</v>
      </c>
      <c r="AE41" s="214">
        <f t="shared" si="8"/>
        <v>0</v>
      </c>
      <c r="AF41" s="112">
        <f t="shared" si="9"/>
        <v>0</v>
      </c>
      <c r="AG41" s="299">
        <f t="shared" si="10"/>
        <v>0</v>
      </c>
      <c r="AH41" s="112">
        <f>IF(E41="",0,VLOOKUP(E41,Datenblatt!$E$2:$G$28,3,FALSE))</f>
        <v>0</v>
      </c>
    </row>
    <row r="42" spans="1:34" ht="13" customHeight="1">
      <c r="A42" s="89" t="str">
        <f>IF(ISERROR(VLOOKUP(C42,Datenblatt!$B$84:$B$97,1,FALSE)),"","Ft")</f>
        <v/>
      </c>
      <c r="B42" s="84">
        <f t="shared" si="0"/>
        <v>45320</v>
      </c>
      <c r="C42" s="86">
        <f>C41+1</f>
        <v>45320</v>
      </c>
      <c r="D42" s="67"/>
      <c r="E42" s="67"/>
      <c r="F42" s="68"/>
      <c r="G42" s="69"/>
      <c r="H42" s="68"/>
      <c r="I42" s="68"/>
      <c r="J42" s="99"/>
      <c r="K42" s="21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20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10" t="str">
        <f>IF(D42="","",IF(E41="ND",VLOOKUP(D42,Datenblatt!$A$2:$C$31,3,FALSE)-1,IF(E41="ND12,5",VLOOKUP(D42,Datenblatt!$A$2:$C$31,3,FALSE)-0.5,VLOOKUP(D42,Datenblatt!$A$2:$C$31,3,FALSE))))</f>
        <v/>
      </c>
      <c r="N42" s="211" t="str">
        <f t="shared" si="2"/>
        <v/>
      </c>
      <c r="O42" s="211" t="str">
        <f t="shared" si="3"/>
        <v/>
      </c>
      <c r="P42" s="186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103" t="str">
        <f>IF(D42="","",VLOOKUP(D42,Datenblatt!$A$2:$D$31,4,FALSE))</f>
        <v/>
      </c>
      <c r="R42" s="104" t="str">
        <f>IF(E42="","",VLOOKUP(E42,Datenblatt!$E$2:$G$28,2,FALSE))</f>
        <v/>
      </c>
      <c r="S42" s="106"/>
      <c r="T42" s="111">
        <f t="shared" si="4"/>
        <v>0</v>
      </c>
      <c r="U42" s="114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12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12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54">
        <f t="array" ref="X42">IF(T42=0,0,IF((AND((ROW(T42)=MATCH(TRUE,($T$1:$T$44)&gt;0,0)))),IF(W42&gt;=6,W42-6,0),IF(W42&gt;=2,2,W42)))</f>
        <v>0</v>
      </c>
      <c r="Y42" s="254">
        <f t="array" ref="Y42">IF(T41=0,0,(IF((AND((ROW(T41)=MATCH(TRUE,($T$1:$T$44)&gt;0,0)))),IF(W41&gt;=6,6,W41),IF(W41&gt;=2,W41-2,0))))</f>
        <v>0</v>
      </c>
      <c r="Z42" s="111" t="str">
        <f t="shared" si="1"/>
        <v/>
      </c>
      <c r="AA42" s="214">
        <f>IF(E41="ND",IF(ISERROR(MATCH(D42,Datenblatt!$L$2:$L$18,0)),3,2),IF(E41="ND12,5",IF(ISERROR(MATCH(D42,Datenblatt!$L$2:$L$18,0)),2.5,2),0))</f>
        <v>0</v>
      </c>
      <c r="AB42" s="214">
        <f>IF((IF(E42="ND",14-IF(D42="",0,VLOOKUP(D42,Datenblatt!$L$2:$M$30,2,FALSE)),IF(E42="ND12,5",2,0)))&lt;0,0,(IF(E42="ND",14-IF(D42="",0,VLOOKUP(D42,Datenblatt!$L$2:$M$30,2,FALSE)),IF(E42="ND12,5",2,0))))</f>
        <v>0</v>
      </c>
      <c r="AC42" s="214">
        <f t="shared" si="6"/>
        <v>0</v>
      </c>
      <c r="AD42" s="214">
        <f t="shared" si="7"/>
        <v>0</v>
      </c>
      <c r="AE42" s="214">
        <f t="shared" si="8"/>
        <v>0</v>
      </c>
      <c r="AF42" s="112">
        <f t="shared" si="9"/>
        <v>0</v>
      </c>
      <c r="AG42" s="299">
        <f t="shared" si="10"/>
        <v>0</v>
      </c>
      <c r="AH42" s="112">
        <f>IF(E42="",0,VLOOKUP(E42,Datenblatt!$E$2:$G$28,3,FALSE))</f>
        <v>0</v>
      </c>
    </row>
    <row r="43" spans="1:34" ht="13" customHeight="1">
      <c r="A43" s="89" t="str">
        <f>IF(ISERROR(VLOOKUP(C43,Datenblatt!$B$84:$B$97,1,FALSE)),"","Ft")</f>
        <v/>
      </c>
      <c r="B43" s="84">
        <f t="shared" si="0"/>
        <v>45321</v>
      </c>
      <c r="C43" s="87">
        <f>C42+1</f>
        <v>45321</v>
      </c>
      <c r="D43" s="67"/>
      <c r="E43" s="67"/>
      <c r="F43" s="68"/>
      <c r="G43" s="69"/>
      <c r="H43" s="68"/>
      <c r="I43" s="68"/>
      <c r="J43" s="99"/>
      <c r="K43" s="21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209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210" t="str">
        <f>IF(D43="","",IF(E42="ND",VLOOKUP(D43,Datenblatt!$A$2:$C$31,3,FALSE)-1,IF(E42="ND12,5",VLOOKUP(D43,Datenblatt!$A$2:$C$31,3,FALSE)-0.5,VLOOKUP(D43,Datenblatt!$A$2:$C$31,3,FALSE))))</f>
        <v/>
      </c>
      <c r="N43" s="211" t="str">
        <f t="shared" si="2"/>
        <v/>
      </c>
      <c r="O43" s="211" t="str">
        <f t="shared" si="3"/>
        <v/>
      </c>
      <c r="P43" s="186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103" t="str">
        <f>IF(D43="","",VLOOKUP(D43,Datenblatt!$A$2:$D$31,4,FALSE))</f>
        <v/>
      </c>
      <c r="R43" s="104" t="str">
        <f>IF(E43="","",VLOOKUP(E43,Datenblatt!$E$2:$G$28,2,FALSE))</f>
        <v/>
      </c>
      <c r="S43" s="107"/>
      <c r="T43" s="111">
        <f t="shared" si="4"/>
        <v>0</v>
      </c>
      <c r="U43" s="114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12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12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54">
        <f t="array" ref="X43">IF(T43=0,0,IF((AND((ROW(T43)=MATCH(TRUE,($T$1:$T$44)&gt;0,0)))),IF(W43&gt;=6,W43-6,0),IF(W43&gt;=2,2,W43)))</f>
        <v>0</v>
      </c>
      <c r="Y43" s="254">
        <f t="array" ref="Y43">IF(T42=0,0,(IF((AND((ROW(T42)=MATCH(TRUE,($T$1:$T$44)&gt;0,0)))),IF(W42&gt;=6,6,W42),IF(W42&gt;=2,W42-2,0))))</f>
        <v>0</v>
      </c>
      <c r="Z43" s="111" t="str">
        <f t="shared" si="1"/>
        <v/>
      </c>
      <c r="AA43" s="214">
        <f>IF(E42="ND",IF(ISERROR(MATCH(D43,Datenblatt!$L$2:$L$18,0)),3,2),IF(E42="ND12,5",IF(ISERROR(MATCH(D43,Datenblatt!$L$2:$L$18,0)),2.5,2),0))</f>
        <v>0</v>
      </c>
      <c r="AB43" s="214">
        <f>IF((IF(E43="ND",14-IF(D43="",0,VLOOKUP(D43,Datenblatt!$L$2:$M$30,2,FALSE)),IF(E43="ND12,5",2,0)))&lt;0,0,(IF(E43="ND",14-IF(D43="",0,VLOOKUP(D43,Datenblatt!$L$2:$M$30,2,FALSE)),IF(E43="ND12,5",2,0))))</f>
        <v>0</v>
      </c>
      <c r="AC43" s="214">
        <f t="shared" si="6"/>
        <v>0</v>
      </c>
      <c r="AD43" s="214">
        <f t="shared" si="7"/>
        <v>0</v>
      </c>
      <c r="AE43" s="214">
        <f t="shared" si="8"/>
        <v>0</v>
      </c>
      <c r="AF43" s="112">
        <f t="shared" si="9"/>
        <v>0</v>
      </c>
      <c r="AG43" s="299">
        <f t="shared" si="10"/>
        <v>0</v>
      </c>
      <c r="AH43" s="112">
        <f>IF(E43="",0,VLOOKUP(E43,Datenblatt!$E$2:$G$28,3,FALSE))</f>
        <v>0</v>
      </c>
    </row>
    <row r="44" spans="1:34" ht="13" customHeight="1">
      <c r="A44" s="89" t="str">
        <f>IF(ISERROR(VLOOKUP(C44,Datenblatt!$B$84:$B$97,1,FALSE)),"","Ft")</f>
        <v/>
      </c>
      <c r="B44" s="159">
        <f t="shared" si="0"/>
        <v>45322</v>
      </c>
      <c r="C44" s="160">
        <f>C43+1</f>
        <v>45322</v>
      </c>
      <c r="D44" s="67"/>
      <c r="E44" s="67"/>
      <c r="F44" s="68"/>
      <c r="G44" s="69"/>
      <c r="H44" s="68"/>
      <c r="I44" s="68"/>
      <c r="J44" s="99"/>
      <c r="K44" s="212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209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210" t="str">
        <f>IF(D44="","",IF(E43="ND",VLOOKUP(D44,Datenblatt!$A$2:$C$31,3,FALSE)-1,IF(E43="ND12,5",VLOOKUP(D44,Datenblatt!$A$2:$C$31,3,FALSE)-0.5,VLOOKUP(D44,Datenblatt!$A$2:$C$31,3,FALSE)-M45)))</f>
        <v/>
      </c>
      <c r="N44" s="211" t="str">
        <f t="shared" si="2"/>
        <v/>
      </c>
      <c r="O44" s="211" t="str">
        <f t="shared" si="3"/>
        <v/>
      </c>
      <c r="P44" s="186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103" t="str">
        <f>IF(D44="","",VLOOKUP(D44,Datenblatt!$A$2:$D$31,4,FALSE))</f>
        <v/>
      </c>
      <c r="R44" s="104" t="str">
        <f>IF(E44="","",VLOOKUP(E44,Datenblatt!$E$2:$G$28,2,FALSE))</f>
        <v/>
      </c>
      <c r="S44" s="107"/>
      <c r="T44" s="111">
        <f t="shared" si="4"/>
        <v>0</v>
      </c>
      <c r="U44" s="114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12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12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54">
        <f t="array" ref="X44">IF(T44=0,0,IF((AND((ROW(T44)=MATCH(TRUE,($T$1:$T$44)&gt;0,0)))),IF(W44&gt;=0,W44-0,0),IF(W44&gt;=2,2,W44)))</f>
        <v>0</v>
      </c>
      <c r="Y44" s="254">
        <f t="array" ref="Y44">IF(T43=0,0,(IF((AND((ROW(T43)=MATCH(TRUE,($T$1:$T$44)&gt;0,0)))),IF(W43&gt;=6,6,W43),IF(W43&gt;=2,W43-2,0))))</f>
        <v>0</v>
      </c>
      <c r="Z44" s="111" t="str">
        <f t="shared" si="1"/>
        <v/>
      </c>
      <c r="AA44" s="214">
        <f>IF(E43="ND",IF(ISERROR(MATCH(D44,Datenblatt!$L$2:$L$18,0)),3,2),IF(E43="ND12,5",IF(ISERROR(MATCH(D44,Datenblatt!$L$2:$L$18,0)),2.5,2),0))</f>
        <v>0</v>
      </c>
      <c r="AB44" s="214">
        <f>IF((IF(E44="ND",14-IF(D44="",0,VLOOKUP(D44,Datenblatt!$L$2:$M$30,2,FALSE)),IF(E44="ND12,5",2,0)))&lt;0,0,(IF(E44="ND",14-IF(D44="",0,VLOOKUP(D44,Datenblatt!$L$2:$M$30,2,FALSE)),IF(E44="ND12,5",2,0))))</f>
        <v>0</v>
      </c>
      <c r="AC44" s="214">
        <f t="shared" si="6"/>
        <v>0</v>
      </c>
      <c r="AD44" s="214">
        <f t="shared" si="7"/>
        <v>0</v>
      </c>
      <c r="AE44" s="214">
        <f t="shared" si="8"/>
        <v>0</v>
      </c>
      <c r="AF44" s="112">
        <f t="shared" si="9"/>
        <v>0</v>
      </c>
      <c r="AG44" s="299">
        <f t="shared" si="10"/>
        <v>0</v>
      </c>
      <c r="AH44" s="112">
        <f>IF(E44="",0,VLOOKUP(E44,Datenblatt!$E$2:$G$28,3,FALSE))</f>
        <v>0</v>
      </c>
    </row>
    <row r="45" spans="1:34" ht="13" customHeight="1" thickBot="1">
      <c r="A45" s="89" t="str">
        <f>IF(ISERROR(VLOOKUP(C45,Datenblatt!$B$84:$B$97,1,FALSE)),"","Ft")</f>
        <v/>
      </c>
      <c r="B45" s="153"/>
      <c r="C45" s="150"/>
      <c r="D45" s="150"/>
      <c r="E45" s="145"/>
      <c r="F45" s="145"/>
      <c r="G45" s="145"/>
      <c r="H45" s="145"/>
      <c r="I45" s="145"/>
      <c r="J45" s="154">
        <f>SUM(J14:J44)</f>
        <v>0</v>
      </c>
      <c r="K45" s="213">
        <f>SUM(K14:K44)</f>
        <v>0</v>
      </c>
      <c r="L45" s="194" t="str">
        <f>IF(D44="ND",9,IF(D44="ND12,5",8.5,"0"))</f>
        <v>0</v>
      </c>
      <c r="M45" s="194" t="str">
        <f>IF(D44="ND",9,IF(D44="ND12,5",8.5,"0"))</f>
        <v>0</v>
      </c>
      <c r="N45" s="218">
        <f t="shared" ref="N45" si="11">SUM(N14:N44)</f>
        <v>0</v>
      </c>
      <c r="O45" s="218">
        <f>SUM(O14:O44)</f>
        <v>0</v>
      </c>
      <c r="P45" s="197">
        <f>SUM(P14:P44)</f>
        <v>0</v>
      </c>
      <c r="Q45" s="173"/>
      <c r="R45" s="156"/>
      <c r="S45" s="157"/>
      <c r="T45" s="155"/>
      <c r="U45" s="115"/>
      <c r="V45" s="116"/>
      <c r="W45" s="116"/>
      <c r="X45" s="116"/>
      <c r="Y45" s="116"/>
      <c r="Z45" s="155"/>
      <c r="AA45" s="215"/>
      <c r="AB45" s="215"/>
      <c r="AC45" s="215"/>
      <c r="AD45" s="215"/>
      <c r="AE45" s="215"/>
      <c r="AF45" s="118"/>
      <c r="AG45" s="118"/>
    </row>
    <row r="46" spans="1:34" s="80" customFormat="1" ht="0.75" customHeight="1" thickBot="1">
      <c r="A46" s="467"/>
      <c r="B46" s="70"/>
      <c r="C46" s="71"/>
      <c r="D46" s="72"/>
      <c r="E46" s="102"/>
      <c r="F46" s="73"/>
      <c r="G46" s="74"/>
      <c r="H46" s="75"/>
      <c r="I46" s="74"/>
      <c r="J46" s="76"/>
      <c r="K46" s="94"/>
      <c r="L46" s="73"/>
      <c r="M46" s="70"/>
      <c r="N46" s="70"/>
      <c r="O46" s="195"/>
      <c r="P46" s="196"/>
      <c r="Q46" s="202"/>
      <c r="R46" s="70"/>
      <c r="T46" s="117"/>
      <c r="U46" s="117"/>
      <c r="V46" s="117"/>
      <c r="W46" s="117"/>
      <c r="X46" s="117"/>
      <c r="Y46" s="117"/>
      <c r="Z46" s="187"/>
      <c r="AA46" s="216"/>
      <c r="AB46" s="216"/>
      <c r="AC46" s="216"/>
      <c r="AD46" s="216"/>
      <c r="AE46" s="216"/>
      <c r="AF46" s="243"/>
      <c r="AG46" s="243"/>
      <c r="AH46" s="300"/>
    </row>
    <row r="47" spans="1:34" s="66" customFormat="1" ht="13" customHeight="1">
      <c r="A47" s="89"/>
      <c r="B47" s="168" t="s">
        <v>147</v>
      </c>
      <c r="C47" s="168"/>
      <c r="D47" s="59"/>
      <c r="E47" s="59"/>
      <c r="F47" s="56"/>
      <c r="G47" s="56"/>
      <c r="H47" s="56"/>
      <c r="I47" s="251"/>
      <c r="J47" s="251"/>
      <c r="K47" s="251"/>
      <c r="L47" s="542" t="s">
        <v>293</v>
      </c>
      <c r="M47" s="542"/>
      <c r="N47" s="542"/>
      <c r="O47" s="543"/>
      <c r="P47" s="201" t="s">
        <v>146</v>
      </c>
      <c r="Q47" s="395">
        <f>IF($P$47="ja",SUMPRODUCT((WEEKDAY($B$14:$B$44,2)=1)*2),0)</f>
        <v>0</v>
      </c>
      <c r="R47" s="158"/>
      <c r="S47" s="171"/>
      <c r="T47" s="118"/>
      <c r="U47" s="118"/>
      <c r="V47" s="118"/>
      <c r="W47" s="118"/>
      <c r="X47" s="118"/>
      <c r="Y47" s="118"/>
      <c r="Z47" s="188"/>
      <c r="AA47" s="217"/>
      <c r="AB47" s="217"/>
      <c r="AC47" s="217"/>
      <c r="AD47" s="217"/>
      <c r="AE47" s="217"/>
      <c r="AF47" s="118"/>
      <c r="AG47" s="118"/>
      <c r="AH47" s="301"/>
    </row>
    <row r="48" spans="1:34" s="66" customFormat="1" ht="13" customHeight="1">
      <c r="A48" s="89"/>
      <c r="B48" s="191" t="str">
        <f>"Verrechnung von Sonderzahlungen, Überstunden, Nachtgutstunden und Nachtdiensten erfolgt im Folgemonat"&amp;" "&amp;Start!$B$16</f>
        <v>Verrechnung von Sonderzahlungen, Überstunden, Nachtgutstunden und Nachtdiensten erfolgt im Folgemonat Februar</v>
      </c>
      <c r="C48" s="168"/>
      <c r="D48" s="59"/>
      <c r="E48" s="59"/>
      <c r="F48" s="56"/>
      <c r="G48" s="56"/>
      <c r="H48" s="82"/>
      <c r="I48" s="82"/>
      <c r="J48" s="83"/>
      <c r="K48" s="83"/>
      <c r="L48" s="538" t="s">
        <v>294</v>
      </c>
      <c r="M48" s="538"/>
      <c r="N48" s="538"/>
      <c r="O48" s="539"/>
      <c r="P48" s="204" t="s">
        <v>292</v>
      </c>
      <c r="Q48" s="347" t="str">
        <f>IF($P$48="Freizeit","       als Gutstunden abgerechnet","       im Folgemonat ausbezahlt")</f>
        <v xml:space="preserve">       als Gutstunden abgerechnet</v>
      </c>
      <c r="R48" s="203"/>
      <c r="S48" s="192"/>
      <c r="T48" s="118"/>
      <c r="U48" s="118"/>
      <c r="V48" s="118"/>
      <c r="W48" s="118"/>
      <c r="X48" s="118"/>
      <c r="Y48" s="118"/>
      <c r="Z48" s="188"/>
      <c r="AA48" s="217"/>
      <c r="AB48" s="217"/>
      <c r="AC48" s="217"/>
      <c r="AD48" s="217"/>
      <c r="AE48" s="217"/>
      <c r="AF48" s="118"/>
      <c r="AG48" s="118"/>
      <c r="AH48" s="301"/>
    </row>
    <row r="49" spans="1:34" s="66" customFormat="1" ht="13.5" customHeight="1" thickBot="1">
      <c r="A49" s="89"/>
      <c r="B49" s="168"/>
      <c r="C49" s="168"/>
      <c r="D49" s="59"/>
      <c r="E49" s="59"/>
      <c r="F49" s="56"/>
      <c r="G49" s="56"/>
      <c r="H49" s="82"/>
      <c r="I49" s="82"/>
      <c r="J49" s="83"/>
      <c r="K49" s="83"/>
      <c r="L49" s="88"/>
      <c r="M49" s="88"/>
      <c r="N49" s="59"/>
      <c r="O49" s="59"/>
      <c r="P49" s="59"/>
      <c r="S49" s="56"/>
      <c r="T49" s="118"/>
      <c r="U49" s="118"/>
      <c r="V49" s="118"/>
      <c r="W49" s="118"/>
      <c r="X49" s="118"/>
      <c r="Y49" s="118"/>
      <c r="Z49" s="188"/>
      <c r="AA49" s="217"/>
      <c r="AB49" s="217"/>
      <c r="AC49" s="217"/>
      <c r="AD49" s="217"/>
      <c r="AE49" s="217"/>
      <c r="AF49" s="118"/>
      <c r="AG49" s="118"/>
      <c r="AH49" s="301"/>
    </row>
    <row r="50" spans="1:34" s="59" customFormat="1" ht="13" customHeight="1">
      <c r="A50" s="140"/>
      <c r="B50" s="452" t="s">
        <v>248</v>
      </c>
      <c r="C50" s="608" t="s">
        <v>249</v>
      </c>
      <c r="D50" s="608"/>
      <c r="E50" s="453" t="s">
        <v>412</v>
      </c>
      <c r="F50" s="272"/>
      <c r="G50" s="317" t="s">
        <v>83</v>
      </c>
      <c r="H50" s="318"/>
      <c r="I50" s="322"/>
      <c r="J50" s="322"/>
      <c r="K50" s="322"/>
      <c r="L50" s="319">
        <f>$Q$6</f>
        <v>5365.31</v>
      </c>
      <c r="N50" s="612" t="str">
        <f>"Monatsprofil"&amp;" "&amp;Start!$B$15</f>
        <v>Monatsprofil Jänner</v>
      </c>
      <c r="O50" s="613"/>
      <c r="P50" s="614"/>
      <c r="R50" s="89"/>
      <c r="T50" s="242"/>
      <c r="U50" s="242"/>
      <c r="V50" s="242"/>
      <c r="W50" s="242"/>
      <c r="X50" s="242"/>
      <c r="Y50" s="242"/>
      <c r="Z50" s="188"/>
      <c r="AA50" s="217"/>
      <c r="AB50" s="217"/>
      <c r="AC50" s="217"/>
      <c r="AD50" s="217"/>
      <c r="AE50" s="217"/>
      <c r="AF50" s="242"/>
      <c r="AG50" s="242"/>
      <c r="AH50" s="302"/>
    </row>
    <row r="51" spans="1:34" s="89" customFormat="1" ht="13" customHeight="1">
      <c r="B51" s="355">
        <f>COUNTIF($D$14:$E$44,"U")-COUNTIFS($D$14:$D$44,"U",$E$14:$E$44,"K")-COUNTIFS($D$14:$D$44,"U",$E$14:$E$44,"PK")</f>
        <v>0</v>
      </c>
      <c r="C51" s="454" t="s">
        <v>18</v>
      </c>
      <c r="D51" s="455">
        <f>SUMIFS($P$14:$P$44,$D$14:$D$44,"U")+SUMIFS($P$14:$P$44,$E$14:$E$44,"U")</f>
        <v>0</v>
      </c>
      <c r="E51" s="456"/>
      <c r="F51" s="316"/>
      <c r="G51" s="341" t="s">
        <v>354</v>
      </c>
      <c r="H51" s="342"/>
      <c r="I51" s="343"/>
      <c r="J51" s="343"/>
      <c r="K51" s="343"/>
      <c r="L51" s="344">
        <f>IF(OR(Start!$D$8=Gehalt!$K$37,Start!$D$8=Gehalt!$K$39,Start!$D$8=Gehalt!$K$41),Gehalt!$C$29,0)</f>
        <v>0</v>
      </c>
      <c r="N51" s="615"/>
      <c r="O51" s="616"/>
      <c r="P51" s="617"/>
      <c r="T51" s="278" t="s">
        <v>398</v>
      </c>
      <c r="U51" s="119">
        <f>SUMPRODUCT(($U$14:$U$44)*(ISNUMBER(FIND("Ft",$A$14:$A$44))))+SUMPRODUCT((($U$14:$U$44)*1)*(WEEKDAY($B$14:$B$44,2)=7))-SUMPRODUCT((($U$14:$U$44)*1)*(WEEKDAY($B$14:$B$44,2)=7)*(ISNUMBER(FIND("Ft",$A$14:$A$44))))</f>
        <v>0</v>
      </c>
      <c r="V51" s="119">
        <f>SUMPRODUCT(($V$14:$V$44)*(ISNUMBER(FIND("Ft",$A$14:$A$44))))+SUMPRODUCT((($V$14:$V$44)*1)*(WEEKDAY($B$14:$B$44,2)=7))-SUMPRODUCT((($V$14:$V$44)*1)*(WEEKDAY($B$14:$B$44,2)=7)*(ISNUMBER(FIND("Ft",$A$14:$A$44))))</f>
        <v>0</v>
      </c>
      <c r="W51" s="119">
        <f>SUM($W$14:$W$44)</f>
        <v>0</v>
      </c>
      <c r="X51" s="255"/>
      <c r="Y51" s="256"/>
      <c r="Z51" s="278" t="s">
        <v>398</v>
      </c>
      <c r="AA51" s="214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14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14">
        <f>SUM($AC$14:$AC$44)</f>
        <v>0</v>
      </c>
      <c r="AD51" s="214">
        <f>SUM($AD$14:$AD$44)</f>
        <v>0</v>
      </c>
      <c r="AE51" s="217"/>
      <c r="AF51" s="188"/>
      <c r="AG51" s="278" t="s">
        <v>398</v>
      </c>
      <c r="AH51" s="214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1:34" s="89" customFormat="1" ht="13" customHeight="1">
      <c r="B52" s="355">
        <f>COUNTIF($D$14:$E$44,"ZA")-COUNTIFS($D$14:$D$44,"ZA",$E$14:$E$44,"K")-COUNTIFS($D$14:$D$44,"ZA",$E$14:$E$44,"PK")</f>
        <v>0</v>
      </c>
      <c r="C52" s="454" t="s">
        <v>21</v>
      </c>
      <c r="D52" s="457">
        <f>SUMIFS($P$14:$P$44,$D$14:$D$44,"ZA")+SUMIFS($P$14:$P$44,$E$14:$E$44,"ZA")-$J$45</f>
        <v>0</v>
      </c>
      <c r="E52" s="458">
        <f>IF($P$48="Freizeit",SUM($N$45*1.5,$O$45*2),0)+$J$54*1.5</f>
        <v>0</v>
      </c>
      <c r="F52" s="272"/>
      <c r="G52" s="323" t="str">
        <f>"9545 Nachtdienstpauschale Gesamt ("&amp;""&amp;Gehalt!$C$25&amp;""&amp;"€/h)"</f>
        <v>9545 Nachtdienstpauschale Gesamt (26,68€/h)</v>
      </c>
      <c r="H52" s="151"/>
      <c r="I52" s="151"/>
      <c r="J52" s="151"/>
      <c r="K52" s="264">
        <f>SUM($AF$14:$AG$44)</f>
        <v>0</v>
      </c>
      <c r="L52" s="226">
        <f>$K$52*Gehalt!$C$25</f>
        <v>0</v>
      </c>
      <c r="N52" s="540" t="s">
        <v>237</v>
      </c>
      <c r="O52" s="541"/>
      <c r="P52" s="352">
        <f>VLOOKUP($B$8,Datenblatt!$A$100:$I$112,2,FALSE)</f>
        <v>31</v>
      </c>
      <c r="T52" s="279" t="s">
        <v>104</v>
      </c>
      <c r="U52" s="269">
        <f>SUM($U$14:$U$44)-$U$51</f>
        <v>0</v>
      </c>
      <c r="V52" s="269">
        <f>SUM($V$14:$V$44)-$V$51</f>
        <v>0</v>
      </c>
      <c r="W52" s="257"/>
      <c r="X52" s="265"/>
      <c r="Y52" s="256"/>
      <c r="Z52" s="280" t="s">
        <v>104</v>
      </c>
      <c r="AA52" s="214">
        <f>SUM($AA$14:$AA$44)-$AA$51</f>
        <v>0</v>
      </c>
      <c r="AB52" s="214">
        <f>SUM($AB$14:$AB$44)-$AB$51</f>
        <v>0</v>
      </c>
      <c r="AC52" s="260"/>
      <c r="AD52" s="261"/>
      <c r="AE52" s="217"/>
      <c r="AF52" s="188"/>
      <c r="AG52" s="280" t="s">
        <v>104</v>
      </c>
      <c r="AH52" s="214">
        <f>SUM($AH$14:$AH$44)-$AH$51</f>
        <v>0</v>
      </c>
    </row>
    <row r="53" spans="1:34" s="89" customFormat="1" ht="13" customHeight="1">
      <c r="B53" s="355">
        <f>COUNTIF($D$14:$E$44,"RG")-COUNTIFS($D$14:$D$44,"U",$E$14:$E$44,"RG")-COUNTIFS($D$14:$D$44,"RG",$E$14:$E$44,"PK")</f>
        <v>0</v>
      </c>
      <c r="C53" s="359" t="s">
        <v>132</v>
      </c>
      <c r="D53" s="455">
        <f>SUMIFS($P$14:$P$44,$D$14:$D$44,"RG")+SUMIFS($P$14:$P$44,$E$14:$E$44,"RG")</f>
        <v>0</v>
      </c>
      <c r="E53" s="459">
        <f>$Q$47</f>
        <v>0</v>
      </c>
      <c r="G53" s="323" t="str">
        <f>"9547 Sonn- und Feiertagszulage ("&amp;""&amp;Gehalt!$C$26&amp;""&amp;"€/h)"</f>
        <v>9547 Sonn- und Feiertagszulage (14,74€/h)</v>
      </c>
      <c r="H53" s="151"/>
      <c r="I53" s="151"/>
      <c r="J53" s="151"/>
      <c r="K53" s="22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26">
        <f>$K$53*Gehalt!$C$26</f>
        <v>0</v>
      </c>
      <c r="N53" s="540" t="s">
        <v>238</v>
      </c>
      <c r="O53" s="541"/>
      <c r="P53" s="352">
        <f>VLOOKUP($B$8,Datenblatt!$A$100:$I$112,3,FALSE)</f>
        <v>2</v>
      </c>
      <c r="T53" s="277" t="s">
        <v>399</v>
      </c>
      <c r="U53" s="112">
        <f>SUMPRODUCT(($U$14:$U$44)*(ISNUMBER(FIND("Ft",$A$14:$A$44))))+SUMPRODUCT((($U$14:$U$44)*1)*(WEEKDAY($B$14:$B$44,2)=7))-SUMPRODUCT((($U$14:$U$44)*1)*(WEEKDAY($B$14:$B$44,2)=7)*(ISNUMBER(FIND("Ft",$A$14:$A$44))))</f>
        <v>0</v>
      </c>
      <c r="V53" s="112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270"/>
      <c r="X53" s="112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12">
        <f>SUMPRODUCT(($Y$14:$Y$44)*(ISNUMBER(FIND("Ft",$A$14:$A$44))))+SUMPRODUCT((($Y$14:$Y$44)*1)*(WEEKDAY($B$14:$B$44,2)=7))-SUMPRODUCT((($Y$14:$Y$44)*1)*(WEEKDAY($B$14:$B$44,2)=7)*(ISNUMBER(FIND("Ft",$A$14:$A$44))))</f>
        <v>0</v>
      </c>
      <c r="Z53" s="258"/>
      <c r="AA53" s="258"/>
      <c r="AB53" s="258"/>
      <c r="AC53" s="259"/>
      <c r="AD53" s="259"/>
      <c r="AE53" s="188"/>
      <c r="AF53" s="188"/>
      <c r="AG53" s="188"/>
      <c r="AH53" s="302"/>
    </row>
    <row r="54" spans="1:34" s="89" customFormat="1" ht="13" customHeight="1">
      <c r="B54" s="355">
        <f>COUNTIF($D$14:$E$44,"NDG")-COUNTIFS($D$14:$D$44,"NDG",$E$14:$E$44,"K")-COUNTIFS($D$14:$D$44,"NDG",$E$14:$E$44,"PK")</f>
        <v>0</v>
      </c>
      <c r="C54" s="359" t="s">
        <v>131</v>
      </c>
      <c r="D54" s="455">
        <f>SUMIFS($P$14:$P$44,$D$14:$D$44,"NDG")+SUMIFS($P$14:$P$44,$E$14:$E$44,"NDG")</f>
        <v>0</v>
      </c>
      <c r="E54" s="459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609" t="s">
        <v>295</v>
      </c>
      <c r="H54" s="610"/>
      <c r="I54" s="611"/>
      <c r="J54" s="390">
        <v>0</v>
      </c>
      <c r="K54" s="225">
        <f>IF($P$48="finanziell",SUM($L$62),0)+$L$66+$L$70-$J$54</f>
        <v>0</v>
      </c>
      <c r="L54" s="226">
        <f>$K$54*$L$60</f>
        <v>0</v>
      </c>
      <c r="M54" s="56"/>
      <c r="N54" s="540" t="s">
        <v>239</v>
      </c>
      <c r="O54" s="541"/>
      <c r="P54" s="352">
        <f>VLOOKUP($B$8,Datenblatt!$A$100:$I$112,4,FALSE)</f>
        <v>8</v>
      </c>
      <c r="T54" s="242"/>
      <c r="U54" s="242"/>
      <c r="V54" s="242"/>
      <c r="W54" s="188"/>
      <c r="X54" s="188"/>
      <c r="Y54" s="188"/>
      <c r="Z54" s="242"/>
      <c r="AA54" s="242"/>
      <c r="AB54" s="242"/>
      <c r="AC54" s="188"/>
      <c r="AD54" s="188"/>
      <c r="AE54" s="188"/>
      <c r="AF54" s="188"/>
      <c r="AG54" s="188"/>
      <c r="AH54" s="302"/>
    </row>
    <row r="55" spans="1:34" s="89" customFormat="1" ht="13" customHeight="1">
      <c r="B55" s="460"/>
      <c r="C55" s="359" t="s">
        <v>170</v>
      </c>
      <c r="D55" s="455">
        <f>SUMIFS($M$14:$M$44,$D$14:$D$44,"U")</f>
        <v>0</v>
      </c>
      <c r="E55" s="456"/>
      <c r="G55" s="323" t="s">
        <v>227</v>
      </c>
      <c r="H55" s="151"/>
      <c r="I55" s="151"/>
      <c r="J55" s="151"/>
      <c r="K55" s="225">
        <f>IF($P$48="finanziell",SUM($L$63),0)+$L$71+$L$67</f>
        <v>0</v>
      </c>
      <c r="L55" s="226">
        <f>$K$55*$L$61</f>
        <v>0</v>
      </c>
      <c r="M55" s="59"/>
      <c r="N55" s="540" t="s">
        <v>240</v>
      </c>
      <c r="O55" s="541"/>
      <c r="P55" s="352">
        <f>VLOOKUP($B$8,Datenblatt!$A$100:$I$112,5,FALSE)</f>
        <v>22</v>
      </c>
      <c r="Q55" s="307"/>
      <c r="R55" s="307"/>
      <c r="S55" s="307"/>
      <c r="T55" s="242"/>
      <c r="U55" s="242"/>
      <c r="V55" s="242"/>
      <c r="W55" s="188"/>
      <c r="X55" s="188"/>
      <c r="Y55" s="188"/>
      <c r="Z55" s="242"/>
      <c r="AA55" s="242"/>
      <c r="AB55" s="242"/>
      <c r="AC55" s="188"/>
      <c r="AD55" s="188"/>
      <c r="AE55" s="188"/>
      <c r="AF55" s="188"/>
      <c r="AG55" s="188"/>
      <c r="AH55" s="302"/>
    </row>
    <row r="56" spans="1:34" s="89" customFormat="1" ht="13" customHeight="1">
      <c r="B56" s="355">
        <f>COUNTIF($D$14:$E$44,"SU")-COUNTIFS($D$14:$D$44,"SU",$E$14:$E$44,"K")-COUNTIFS($D$14:$D$44,"SU",$E$14:$E$44,"PK")</f>
        <v>0</v>
      </c>
      <c r="C56" s="359" t="s">
        <v>172</v>
      </c>
      <c r="D56" s="455">
        <f>SUMIFS($M$14:$M$44,$D$14:$D$44,"SU")</f>
        <v>0</v>
      </c>
      <c r="E56" s="456"/>
      <c r="G56" s="323" t="s">
        <v>285</v>
      </c>
      <c r="H56" s="151"/>
      <c r="I56" s="151"/>
      <c r="J56" s="151"/>
      <c r="K56" s="394">
        <f ca="1">IF(Start!$C$33-SUM(Start!$E$31:$E$35,Start!$E$15)*2&lt;=0,0,Start!$C$33-SUM(Start!$E$31:$E$35,Start!$E$15)*2)</f>
        <v>0</v>
      </c>
      <c r="L56" s="226">
        <f ca="1">$K$56*(ROUNDDOWN((($Q$6-35)/173*1),2))</f>
        <v>0</v>
      </c>
      <c r="N56" s="540" t="s">
        <v>241</v>
      </c>
      <c r="O56" s="541"/>
      <c r="P56" s="352">
        <f>VLOOKUP($B$8,Datenblatt!$A$100:$I$112,7,FALSE)</f>
        <v>23</v>
      </c>
      <c r="Q56" s="307"/>
      <c r="R56" s="307"/>
      <c r="S56" s="307"/>
      <c r="T56" s="242"/>
      <c r="U56" s="242"/>
      <c r="V56" s="242"/>
      <c r="W56" s="188"/>
      <c r="X56" s="188"/>
      <c r="Y56" s="188"/>
      <c r="Z56" s="242"/>
      <c r="AA56" s="242"/>
      <c r="AB56" s="242"/>
      <c r="AC56" s="188"/>
      <c r="AD56" s="188"/>
      <c r="AE56" s="188"/>
      <c r="AF56" s="188"/>
      <c r="AG56" s="188"/>
      <c r="AH56" s="302"/>
    </row>
    <row r="57" spans="1:34" s="89" customFormat="1" ht="13" customHeight="1">
      <c r="B57" s="355">
        <f>COUNTIF($D$14:$E$44,"PK")</f>
        <v>0</v>
      </c>
      <c r="C57" s="359" t="s">
        <v>171</v>
      </c>
      <c r="D57" s="455">
        <f>SUMIFS($M$14:$M$44,$D$14:$D$44,"PK")</f>
        <v>0</v>
      </c>
      <c r="E57" s="456"/>
      <c r="G57" s="391" t="s">
        <v>297</v>
      </c>
      <c r="H57" s="392"/>
      <c r="I57" s="392"/>
      <c r="J57" s="151"/>
      <c r="K57" s="225">
        <f>IF(OR(Start!$D$8=Gehalt!$K$37,Start!$D$8=Gehalt!$K$39,Start!$D$8=Gehalt!$K$41),SUMIFS($M$14:$M$44,$Q$14:$Q$44,"=Tagdienst*",$E$14:$E$44,"&lt;&gt;*")+SUMIFS($AH$14:$AH$44,$R$14:$R$44,"=Tagdienst*"),0)</f>
        <v>0</v>
      </c>
      <c r="L57" s="226">
        <f>$K$57*Gehalt!$C$28</f>
        <v>0</v>
      </c>
      <c r="N57" s="540" t="s">
        <v>236</v>
      </c>
      <c r="O57" s="541"/>
      <c r="P57" s="352">
        <f>VLOOKUP($B$8,Datenblatt!$A$100:$I$112,6,FALSE)</f>
        <v>176</v>
      </c>
      <c r="Q57" s="307"/>
      <c r="R57" s="307"/>
      <c r="S57" s="307"/>
      <c r="T57" s="242"/>
      <c r="U57" s="242"/>
      <c r="V57" s="242"/>
      <c r="W57" s="188"/>
      <c r="X57" s="188"/>
      <c r="Y57" s="188"/>
      <c r="Z57" s="242"/>
      <c r="AA57" s="242"/>
      <c r="AB57" s="242"/>
      <c r="AC57" s="188"/>
      <c r="AD57" s="188"/>
      <c r="AE57" s="188"/>
      <c r="AF57" s="188"/>
      <c r="AG57" s="188"/>
      <c r="AH57" s="302"/>
    </row>
    <row r="58" spans="1:34" s="89" customFormat="1" ht="13" customHeight="1">
      <c r="B58" s="355">
        <f>COUNTIF($D$14:$E$44,"K")+COUNTIF($D$14:$E$44,"KA")</f>
        <v>0</v>
      </c>
      <c r="C58" s="359" t="s">
        <v>418</v>
      </c>
      <c r="D58" s="455">
        <f>SUMIFS($M$14:$M$44,$D$14:$D$44,"K")+SUMIFS($M$14:$M$44,$D$14:$D$44,"KA")</f>
        <v>0</v>
      </c>
      <c r="E58" s="456"/>
      <c r="G58" s="323" t="s">
        <v>296</v>
      </c>
      <c r="H58" s="151"/>
      <c r="I58" s="151"/>
      <c r="J58" s="393" t="s">
        <v>146</v>
      </c>
      <c r="K58" s="225"/>
      <c r="L58" s="226">
        <f>IF($J$58="ja",Gehalt!$C$27,0)</f>
        <v>0</v>
      </c>
      <c r="N58" s="618" t="str">
        <f>"Stundenkonto Monatsende"&amp;" "&amp;Start!$B$15</f>
        <v>Stundenkonto Monatsende Jänner</v>
      </c>
      <c r="O58" s="619"/>
      <c r="P58" s="620"/>
      <c r="Q58" s="307"/>
      <c r="R58" s="307"/>
      <c r="S58" s="90"/>
      <c r="T58" s="242"/>
      <c r="U58" s="242"/>
      <c r="V58" s="242"/>
      <c r="W58" s="188"/>
      <c r="X58" s="188"/>
      <c r="Y58" s="188"/>
      <c r="Z58" s="242"/>
      <c r="AA58" s="242"/>
      <c r="AB58" s="242"/>
      <c r="AC58" s="188"/>
      <c r="AD58" s="188"/>
      <c r="AE58" s="188"/>
      <c r="AF58" s="188"/>
      <c r="AG58" s="188"/>
      <c r="AH58" s="302"/>
    </row>
    <row r="59" spans="1:34" s="89" customFormat="1" ht="13" customHeight="1" thickBot="1">
      <c r="B59" s="460"/>
      <c r="C59" s="359" t="s">
        <v>19</v>
      </c>
      <c r="D59" s="455">
        <f>COUNTIF($L$14:$L$44,"n.b.")</f>
        <v>0</v>
      </c>
      <c r="E59" s="456"/>
      <c r="G59" s="229" t="s">
        <v>362</v>
      </c>
      <c r="H59" s="230"/>
      <c r="I59" s="230"/>
      <c r="J59" s="230"/>
      <c r="K59" s="338"/>
      <c r="L59" s="228">
        <f ca="1">SUM(L52:L57)*12%</f>
        <v>0</v>
      </c>
      <c r="N59" s="615"/>
      <c r="O59" s="616"/>
      <c r="P59" s="617"/>
      <c r="Q59" s="307"/>
      <c r="R59" s="307"/>
      <c r="S59" s="90"/>
      <c r="T59" s="242"/>
      <c r="U59" s="188"/>
      <c r="V59" s="188"/>
      <c r="W59" s="188"/>
      <c r="X59" s="188"/>
      <c r="Y59" s="188"/>
      <c r="Z59" s="242"/>
      <c r="AA59" s="188"/>
      <c r="AB59" s="188"/>
      <c r="AC59" s="188"/>
      <c r="AD59" s="188"/>
      <c r="AE59" s="188"/>
      <c r="AF59" s="188"/>
      <c r="AG59" s="188"/>
      <c r="AH59" s="302"/>
    </row>
    <row r="60" spans="1:34" s="89" customFormat="1" ht="13" customHeight="1">
      <c r="B60" s="355">
        <f>COUNTIF($D$14:$E$44,"DV")</f>
        <v>0</v>
      </c>
      <c r="C60" s="359" t="s">
        <v>111</v>
      </c>
      <c r="D60" s="455">
        <f>SUMIFS($P$14:$P$44,$D$14:$D$44,"DV")+SUMIFS($P$14:$P$44,$E$14:$E$44,"DV")</f>
        <v>0</v>
      </c>
      <c r="E60" s="456"/>
      <c r="G60" s="238" t="s">
        <v>298</v>
      </c>
      <c r="H60" s="239"/>
      <c r="I60" s="240"/>
      <c r="J60" s="240"/>
      <c r="K60" s="240"/>
      <c r="L60" s="241">
        <f>IF($Q$6="",0,ROUNDDOWN((($Q$6-35)/173*1.5),2))</f>
        <v>46.21</v>
      </c>
      <c r="N60" s="540" t="s">
        <v>234</v>
      </c>
      <c r="O60" s="541"/>
      <c r="P60" s="352">
        <f>Start!$C$30+SUM(Jänner!$D$51)</f>
        <v>0</v>
      </c>
      <c r="Q60" s="307"/>
      <c r="R60" s="307"/>
      <c r="S60" s="90"/>
      <c r="T60" s="244"/>
      <c r="U60" s="188"/>
      <c r="V60" s="188"/>
      <c r="W60" s="188"/>
      <c r="X60" s="188"/>
      <c r="Y60" s="188"/>
      <c r="Z60" s="244"/>
      <c r="AA60" s="188"/>
      <c r="AB60" s="188"/>
      <c r="AC60" s="188"/>
      <c r="AD60" s="188"/>
      <c r="AE60" s="188"/>
      <c r="AF60" s="188"/>
      <c r="AG60" s="188"/>
      <c r="AH60" s="302"/>
    </row>
    <row r="61" spans="1:34" s="89" customFormat="1" ht="13" customHeight="1">
      <c r="B61" s="474">
        <f>COUNTIF($D$14:$E$44,"WR")</f>
        <v>0</v>
      </c>
      <c r="C61" s="475" t="s">
        <v>126</v>
      </c>
      <c r="D61" s="476"/>
      <c r="E61" s="477"/>
      <c r="G61" s="360" t="s">
        <v>400</v>
      </c>
      <c r="H61" s="358"/>
      <c r="I61" s="357"/>
      <c r="J61" s="357"/>
      <c r="K61" s="357"/>
      <c r="L61" s="356">
        <f>IF($Q$6="",0,ROUNDDOWN((($Q$6-35)/173*2),2))</f>
        <v>61.62</v>
      </c>
      <c r="N61" s="540" t="s">
        <v>235</v>
      </c>
      <c r="O61" s="541"/>
      <c r="P61" s="353">
        <f>Start!$C$31+SUM(Jänner!$D$52)+SUM(Jänner!$E$52)</f>
        <v>0</v>
      </c>
      <c r="Q61" s="307"/>
      <c r="R61" s="307"/>
      <c r="S61" s="90"/>
      <c r="T61" s="244"/>
      <c r="U61" s="188"/>
      <c r="V61" s="188"/>
      <c r="W61" s="188"/>
      <c r="X61" s="188"/>
      <c r="Y61" s="188"/>
      <c r="Z61" s="244"/>
      <c r="AA61" s="188"/>
      <c r="AB61" s="188"/>
      <c r="AC61" s="188"/>
      <c r="AD61" s="188"/>
      <c r="AE61" s="188"/>
      <c r="AF61" s="188"/>
      <c r="AG61" s="188"/>
      <c r="AH61" s="302"/>
    </row>
    <row r="62" spans="1:34" s="59" customFormat="1" ht="13" customHeight="1">
      <c r="A62" s="140"/>
      <c r="B62" s="478"/>
      <c r="C62" s="478"/>
      <c r="D62" s="478"/>
      <c r="E62" s="478"/>
      <c r="G62" s="374" t="s">
        <v>392</v>
      </c>
      <c r="H62" s="375"/>
      <c r="I62" s="125"/>
      <c r="J62" s="125"/>
      <c r="K62" s="125"/>
      <c r="L62" s="376">
        <f>SUM($N$14:$N$44)</f>
        <v>0</v>
      </c>
      <c r="M62" s="89"/>
      <c r="N62" s="540" t="s">
        <v>148</v>
      </c>
      <c r="O62" s="541"/>
      <c r="P62" s="352">
        <f>Start!$C$32+SUM(Jänner!$D$53)+SUM(Jänner!$E$53)</f>
        <v>0</v>
      </c>
      <c r="Q62" s="307"/>
      <c r="R62" s="307"/>
      <c r="S62" s="90"/>
      <c r="T62" s="244"/>
      <c r="U62" s="242"/>
      <c r="V62" s="242"/>
      <c r="W62" s="242"/>
      <c r="X62" s="242"/>
      <c r="Y62" s="242"/>
      <c r="Z62" s="244"/>
      <c r="AA62" s="242"/>
      <c r="AB62" s="242"/>
      <c r="AC62" s="242"/>
      <c r="AD62" s="242"/>
      <c r="AE62" s="242"/>
      <c r="AF62" s="242"/>
      <c r="AG62" s="242"/>
      <c r="AH62" s="302"/>
    </row>
    <row r="63" spans="1:34" s="59" customFormat="1" ht="13" customHeight="1">
      <c r="A63" s="140"/>
      <c r="G63" s="374" t="s">
        <v>102</v>
      </c>
      <c r="H63" s="375"/>
      <c r="I63" s="125"/>
      <c r="J63" s="125"/>
      <c r="K63" s="125"/>
      <c r="L63" s="376">
        <f>SUM($O$14:$O$44)</f>
        <v>0</v>
      </c>
      <c r="M63" s="89"/>
      <c r="N63" s="544" t="s">
        <v>166</v>
      </c>
      <c r="O63" s="545"/>
      <c r="P63" s="354">
        <f ca="1">Start!$C$33+SUM(Jänner!$D$54)+SUM(Jänner!$E$54)-SUM(Jänner!$K$56)</f>
        <v>0</v>
      </c>
      <c r="Q63" s="307"/>
      <c r="R63" s="307"/>
      <c r="S63" s="90"/>
      <c r="T63" s="244"/>
      <c r="U63" s="242"/>
      <c r="V63" s="242"/>
      <c r="W63" s="242"/>
      <c r="X63" s="242"/>
      <c r="Y63" s="242"/>
      <c r="Z63" s="244"/>
      <c r="AA63" s="242"/>
      <c r="AB63" s="242"/>
      <c r="AC63" s="242"/>
      <c r="AD63" s="242"/>
      <c r="AE63" s="242"/>
      <c r="AF63" s="242"/>
      <c r="AG63" s="242"/>
      <c r="AH63" s="302"/>
    </row>
    <row r="64" spans="1:34" s="59" customFormat="1" ht="13" customHeight="1">
      <c r="A64" s="140"/>
      <c r="E64" s="140"/>
      <c r="G64" s="374" t="s">
        <v>98</v>
      </c>
      <c r="H64" s="375"/>
      <c r="I64" s="125"/>
      <c r="J64" s="125"/>
      <c r="K64" s="125"/>
      <c r="L64" s="377">
        <f>$L$62*$L$60</f>
        <v>0</v>
      </c>
      <c r="M64" s="89"/>
      <c r="N64" s="546" t="str">
        <f>"Bisheriger Verbrauch"&amp;" "&amp;Start!$D$2</f>
        <v>Bisheriger Verbrauch 2024</v>
      </c>
      <c r="O64" s="547"/>
      <c r="P64" s="548"/>
      <c r="Q64" s="307"/>
      <c r="R64" s="307"/>
      <c r="S64" s="90"/>
      <c r="T64" s="244"/>
      <c r="U64" s="242"/>
      <c r="V64" s="242"/>
      <c r="W64" s="242"/>
      <c r="X64" s="242"/>
      <c r="Y64" s="242"/>
      <c r="Z64" s="244"/>
      <c r="AA64" s="242"/>
      <c r="AB64" s="242"/>
      <c r="AC64" s="242"/>
      <c r="AD64" s="242"/>
      <c r="AE64" s="242"/>
      <c r="AF64" s="242"/>
      <c r="AG64" s="242"/>
      <c r="AH64" s="302"/>
    </row>
    <row r="65" spans="1:34" s="59" customFormat="1" ht="13" customHeight="1">
      <c r="A65" s="140"/>
      <c r="E65" s="140"/>
      <c r="G65" s="267" t="s">
        <v>99</v>
      </c>
      <c r="H65" s="268"/>
      <c r="I65" s="378"/>
      <c r="J65" s="378"/>
      <c r="K65" s="378"/>
      <c r="L65" s="379">
        <f>$L$63*$L$61</f>
        <v>0</v>
      </c>
      <c r="M65" s="89"/>
      <c r="N65" s="549"/>
      <c r="O65" s="550"/>
      <c r="P65" s="551"/>
      <c r="Q65" s="307"/>
      <c r="R65" s="307"/>
      <c r="S65" s="90"/>
      <c r="T65" s="244"/>
      <c r="U65" s="242"/>
      <c r="V65" s="242"/>
      <c r="W65" s="242"/>
      <c r="X65" s="242"/>
      <c r="Y65" s="242"/>
      <c r="Z65" s="244"/>
      <c r="AA65" s="242"/>
      <c r="AB65" s="242"/>
      <c r="AC65" s="242"/>
      <c r="AD65" s="242"/>
      <c r="AE65" s="242"/>
      <c r="AF65" s="242"/>
      <c r="AG65" s="242"/>
      <c r="AH65" s="302"/>
    </row>
    <row r="66" spans="1:34" s="59" customFormat="1" ht="13" customHeight="1">
      <c r="A66" s="140"/>
      <c r="E66" s="140"/>
      <c r="G66" s="380" t="s">
        <v>228</v>
      </c>
      <c r="H66" s="381"/>
      <c r="I66" s="382"/>
      <c r="J66" s="382"/>
      <c r="K66" s="382"/>
      <c r="L66" s="376">
        <f>SUM($U$52:$V$52)+$AH$52</f>
        <v>0</v>
      </c>
      <c r="N66" s="533" t="s">
        <v>234</v>
      </c>
      <c r="O66" s="534"/>
      <c r="P66" s="398">
        <f>SUM(Jänner!$D$51)</f>
        <v>0</v>
      </c>
      <c r="Q66" s="307"/>
      <c r="R66" s="307"/>
      <c r="S66" s="90"/>
      <c r="T66" s="244"/>
      <c r="U66" s="242"/>
      <c r="V66" s="242"/>
      <c r="W66" s="242"/>
      <c r="X66" s="242"/>
      <c r="Y66" s="242"/>
      <c r="Z66" s="244"/>
      <c r="AA66" s="242"/>
      <c r="AB66" s="242"/>
      <c r="AC66" s="242"/>
      <c r="AD66" s="242"/>
      <c r="AE66" s="242"/>
      <c r="AF66" s="242"/>
      <c r="AG66" s="242"/>
      <c r="AH66" s="302"/>
    </row>
    <row r="67" spans="1:34" s="59" customFormat="1" ht="13" customHeight="1">
      <c r="A67" s="140"/>
      <c r="D67" s="140"/>
      <c r="E67" s="140"/>
      <c r="G67" s="380" t="s">
        <v>103</v>
      </c>
      <c r="H67" s="381"/>
      <c r="I67" s="382"/>
      <c r="J67" s="382"/>
      <c r="K67" s="382"/>
      <c r="L67" s="376">
        <f>SUM($U$51:$W$51)+$AH$51</f>
        <v>0</v>
      </c>
      <c r="N67" s="533" t="s">
        <v>235</v>
      </c>
      <c r="O67" s="534"/>
      <c r="P67" s="398">
        <f>SUM(Jänner!$D$52)</f>
        <v>0</v>
      </c>
      <c r="Q67" s="307"/>
      <c r="R67" s="307"/>
      <c r="S67" s="90"/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42"/>
      <c r="AG67" s="242"/>
      <c r="AH67" s="302"/>
    </row>
    <row r="68" spans="1:34" s="59" customFormat="1" ht="13" customHeight="1">
      <c r="A68" s="140"/>
      <c r="D68" s="140"/>
      <c r="E68" s="140"/>
      <c r="G68" s="121" t="s">
        <v>100</v>
      </c>
      <c r="H68" s="122"/>
      <c r="I68" s="125"/>
      <c r="J68" s="125"/>
      <c r="K68" s="125"/>
      <c r="L68" s="377">
        <f>$L$66*$L$60</f>
        <v>0</v>
      </c>
      <c r="N68" s="533" t="s">
        <v>148</v>
      </c>
      <c r="O68" s="534"/>
      <c r="P68" s="398">
        <f>SUM(Jänner!$D$53)</f>
        <v>0</v>
      </c>
      <c r="T68" s="242"/>
      <c r="U68" s="242"/>
      <c r="V68" s="242"/>
      <c r="W68" s="242"/>
      <c r="X68" s="242"/>
      <c r="Y68" s="242"/>
      <c r="Z68" s="242"/>
      <c r="AA68" s="242"/>
      <c r="AB68" s="242"/>
      <c r="AC68" s="242"/>
      <c r="AD68" s="242"/>
      <c r="AE68" s="242"/>
      <c r="AF68" s="242"/>
      <c r="AG68" s="242"/>
      <c r="AH68" s="302"/>
    </row>
    <row r="69" spans="1:34" s="59" customFormat="1" ht="13" customHeight="1">
      <c r="A69" s="140"/>
      <c r="D69" s="140"/>
      <c r="E69" s="140"/>
      <c r="G69" s="383" t="s">
        <v>101</v>
      </c>
      <c r="H69" s="384"/>
      <c r="I69" s="378"/>
      <c r="J69" s="378"/>
      <c r="K69" s="378"/>
      <c r="L69" s="379">
        <f>$L$67*$L$61</f>
        <v>0</v>
      </c>
      <c r="N69" s="621" t="s">
        <v>166</v>
      </c>
      <c r="O69" s="622"/>
      <c r="P69" s="399">
        <f>SUM(Jänner!$D$54)</f>
        <v>0</v>
      </c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302"/>
    </row>
    <row r="70" spans="1:34" s="59" customFormat="1" ht="13" customHeight="1">
      <c r="A70" s="140"/>
      <c r="D70" s="140"/>
      <c r="E70" s="140"/>
      <c r="G70" s="374" t="s">
        <v>393</v>
      </c>
      <c r="H70" s="375"/>
      <c r="I70" s="125"/>
      <c r="J70" s="125"/>
      <c r="K70" s="125"/>
      <c r="L70" s="376">
        <f>SUM($AA$52:$AB$52)</f>
        <v>0</v>
      </c>
      <c r="N70" s="604" t="s">
        <v>389</v>
      </c>
      <c r="O70" s="605"/>
      <c r="P70" s="451">
        <f>SUM(Jänner!$B$56)</f>
        <v>0</v>
      </c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302"/>
    </row>
    <row r="71" spans="1:34" s="59" customFormat="1" ht="13" customHeight="1">
      <c r="A71" s="140"/>
      <c r="D71" s="140"/>
      <c r="E71" s="140"/>
      <c r="G71" s="374" t="s">
        <v>356</v>
      </c>
      <c r="H71" s="375"/>
      <c r="I71" s="125"/>
      <c r="J71" s="125"/>
      <c r="K71" s="125"/>
      <c r="L71" s="376">
        <f>SUM($AA$51:$AD$51)</f>
        <v>0</v>
      </c>
      <c r="N71" s="533" t="s">
        <v>390</v>
      </c>
      <c r="O71" s="534"/>
      <c r="P71" s="398">
        <f>SUM(Jänner!$B$57)</f>
        <v>0</v>
      </c>
      <c r="R71" s="89"/>
      <c r="T71" s="242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302"/>
    </row>
    <row r="72" spans="1:34" s="59" customFormat="1" ht="13" customHeight="1">
      <c r="A72" s="140"/>
      <c r="D72" s="140"/>
      <c r="E72" s="140"/>
      <c r="G72" s="374" t="s">
        <v>98</v>
      </c>
      <c r="H72" s="375"/>
      <c r="I72" s="125"/>
      <c r="J72" s="125"/>
      <c r="K72" s="125"/>
      <c r="L72" s="377">
        <f>$L$70*$L$60</f>
        <v>0</v>
      </c>
      <c r="M72" s="308"/>
      <c r="N72" s="606" t="s">
        <v>388</v>
      </c>
      <c r="O72" s="607"/>
      <c r="P72" s="450">
        <f>SUM(Jänner!$B$58)</f>
        <v>0</v>
      </c>
      <c r="R72" s="89"/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302"/>
    </row>
    <row r="73" spans="1:34" s="59" customFormat="1" ht="13" customHeight="1">
      <c r="A73" s="140"/>
      <c r="D73" s="140"/>
      <c r="E73" s="315"/>
      <c r="G73" s="267" t="s">
        <v>99</v>
      </c>
      <c r="H73" s="268"/>
      <c r="I73" s="378"/>
      <c r="J73" s="378"/>
      <c r="K73" s="378"/>
      <c r="L73" s="379">
        <f>$L$71*$L$61</f>
        <v>0</v>
      </c>
      <c r="R73" s="89"/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302"/>
    </row>
    <row r="74" spans="1:34" s="59" customFormat="1" ht="13" customHeight="1">
      <c r="A74" s="140"/>
      <c r="D74" s="140"/>
      <c r="G74" s="385" t="s">
        <v>288</v>
      </c>
      <c r="H74" s="386"/>
      <c r="I74" s="161"/>
      <c r="J74" s="161"/>
      <c r="K74" s="161"/>
      <c r="L74" s="387">
        <f>VLOOKUP($B$8,Datenblatt!$A$100:$F$112,6,FALSE)-SUM($D$55:$D$58)</f>
        <v>176</v>
      </c>
      <c r="R74" s="89"/>
      <c r="T74" s="242"/>
      <c r="U74" s="242"/>
      <c r="V74" s="242"/>
      <c r="W74" s="242"/>
      <c r="X74" s="242"/>
      <c r="Y74" s="242"/>
      <c r="Z74" s="242"/>
      <c r="AA74" s="242"/>
      <c r="AB74" s="242"/>
      <c r="AC74" s="242"/>
      <c r="AD74" s="242"/>
      <c r="AE74" s="242"/>
      <c r="AF74" s="242"/>
      <c r="AG74" s="242"/>
      <c r="AH74" s="302"/>
    </row>
    <row r="75" spans="1:34" s="59" customFormat="1" ht="13" customHeight="1">
      <c r="A75" s="140"/>
      <c r="D75" s="140"/>
      <c r="R75" s="89"/>
      <c r="T75" s="242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242"/>
      <c r="AF75" s="242"/>
      <c r="AG75" s="242"/>
      <c r="AH75" s="302"/>
    </row>
    <row r="76" spans="1:34" s="59" customFormat="1" ht="13" customHeight="1">
      <c r="A76" s="140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302"/>
    </row>
    <row r="77" spans="1:34" s="59" customFormat="1" ht="13" customHeight="1">
      <c r="A77" s="140"/>
      <c r="C77" s="164" t="s">
        <v>243</v>
      </c>
      <c r="D77" s="165"/>
      <c r="E77" s="166"/>
      <c r="F77" s="166"/>
      <c r="G77" s="166"/>
      <c r="H77" s="167"/>
      <c r="L77" s="140"/>
      <c r="M77" s="140"/>
      <c r="N77" s="140"/>
      <c r="O77" s="140"/>
      <c r="P77" s="140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302"/>
    </row>
    <row r="78" spans="1:34" s="59" customFormat="1" ht="13" customHeight="1">
      <c r="A78" s="140"/>
      <c r="C78" s="121" t="s">
        <v>92</v>
      </c>
      <c r="D78" s="122"/>
      <c r="E78" s="123"/>
      <c r="F78" s="123"/>
      <c r="G78" s="123"/>
      <c r="H78" s="124">
        <f>SUMPRODUCT((WEEKDAY($B$13:$B$43,2)=6)*($D$13:$D$43="ND"))-SUMPRODUCT((WEEKDAY($B$13:$B$43,2)=6)*($D$13:$D$43="ND")*($A$13:$A$43="Ft"))</f>
        <v>0</v>
      </c>
      <c r="L78" s="140"/>
      <c r="M78" s="140"/>
      <c r="N78" s="140"/>
      <c r="O78" s="140"/>
      <c r="R78" s="120"/>
      <c r="T78" s="242"/>
      <c r="U78" s="242"/>
      <c r="V78" s="242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  <c r="AH78" s="302"/>
    </row>
    <row r="79" spans="1:34" s="59" customFormat="1" ht="13" customHeight="1">
      <c r="A79" s="140"/>
      <c r="C79" s="121" t="s">
        <v>93</v>
      </c>
      <c r="D79" s="122"/>
      <c r="E79" s="123"/>
      <c r="F79" s="123"/>
      <c r="G79" s="123"/>
      <c r="H79" s="124">
        <f>SUMPRODUCT((WEEKDAY($B$14:$B$44,2)=7)*($D$14:$D$44="ND"))-SUMPRODUCT((WEEKDAY($B$14:$B$44,2)=7)*($D$14:$D$44="ND")*($A$14:$A$44="Ft"))</f>
        <v>0</v>
      </c>
      <c r="L79" s="140"/>
      <c r="M79" s="140"/>
      <c r="N79" s="140"/>
      <c r="O79" s="140"/>
      <c r="R79" s="120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  <c r="AH79" s="302"/>
    </row>
    <row r="80" spans="1:34" s="59" customFormat="1" ht="13" customHeight="1">
      <c r="A80" s="140"/>
      <c r="C80" s="121" t="s">
        <v>94</v>
      </c>
      <c r="D80" s="122"/>
      <c r="E80" s="123"/>
      <c r="F80" s="123"/>
      <c r="G80" s="123"/>
      <c r="H80" s="124">
        <f>SUMPRODUCT(($D$14:$D$44="ND")*($A$14:$A$44="Ft"))</f>
        <v>0</v>
      </c>
      <c r="L80" s="140"/>
      <c r="M80" s="140"/>
      <c r="N80" s="140"/>
      <c r="O80" s="140"/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42"/>
      <c r="AG80" s="242"/>
      <c r="AH80" s="302"/>
    </row>
    <row r="81" spans="1:34" s="59" customFormat="1" ht="13" customHeight="1">
      <c r="A81" s="140"/>
      <c r="C81" s="121" t="s">
        <v>95</v>
      </c>
      <c r="D81" s="122"/>
      <c r="E81" s="125"/>
      <c r="F81" s="125"/>
      <c r="G81" s="125"/>
      <c r="H81" s="124">
        <f>SUMPRODUCT((WEEKDAY($C$13:$C$43,2)=7)*($D$13:$D$43="ND")*($A$14:$A$44="Ft"))-SUMPRODUCT((WEEKDAY($C$13:$C$43,2)=7)*($D$13:$D$43="ND")*($A$13:$A$43="Ft")*($A$14:$A$44="Ft"))</f>
        <v>0</v>
      </c>
      <c r="L81" s="140"/>
      <c r="M81" s="140"/>
      <c r="N81" s="140"/>
      <c r="O81" s="140"/>
      <c r="T81" s="242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  <c r="AH81" s="302"/>
    </row>
    <row r="82" spans="1:34" s="59" customFormat="1" ht="13" customHeight="1">
      <c r="A82" s="140"/>
      <c r="C82" s="121" t="s">
        <v>96</v>
      </c>
      <c r="D82" s="122"/>
      <c r="E82" s="125"/>
      <c r="F82" s="125"/>
      <c r="G82" s="125"/>
      <c r="H82" s="124">
        <f>SUMPRODUCT(($A$13:$A$43="Ft")*($D$13:$D$43="ND")*($A$14:$A$44="Ft"))</f>
        <v>0</v>
      </c>
      <c r="L82" s="140"/>
      <c r="M82" s="140"/>
      <c r="N82" s="140"/>
      <c r="O82" s="140"/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42"/>
      <c r="AG82" s="242"/>
      <c r="AH82" s="302"/>
    </row>
    <row r="83" spans="1:34" s="59" customFormat="1" ht="13" customHeight="1">
      <c r="A83" s="140"/>
      <c r="C83" s="121" t="s">
        <v>97</v>
      </c>
      <c r="D83" s="122"/>
      <c r="E83" s="125"/>
      <c r="F83" s="122"/>
      <c r="G83" s="122"/>
      <c r="H83" s="124">
        <f>SUMPRODUCT(($A$13:$A$43="Ft")*(WEEKDAY($C$14:$C$44,2)=7)*($D$13:$D$43="ND"))-SUMPRODUCT(($A$13:$A$43="Ft")*($A$14:$A$44="Ft")*(WEEKDAY($C$14:$C$44,2)=7)*($D$13:$D$43="ND"))</f>
        <v>0</v>
      </c>
      <c r="L83" s="140"/>
      <c r="M83" s="140"/>
      <c r="N83" s="140"/>
      <c r="O83" s="140"/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302"/>
    </row>
    <row r="84" spans="1:34" s="59" customFormat="1" ht="13" customHeight="1">
      <c r="A84" s="140"/>
      <c r="C84" s="126" t="s">
        <v>152</v>
      </c>
      <c r="D84" s="127"/>
      <c r="E84" s="161"/>
      <c r="F84" s="127"/>
      <c r="G84" s="127"/>
      <c r="H84" s="199">
        <f>SUMPRODUCT(($A$14:$A$44="Ft")*(WEEKDAY($C$13:$C$43,2)&lt;6)*($D$13:$D$43="ND"))-(SUMPRODUCT(($A$14:$A$44="Ft")*($A$13:$A$43="Ft")*(WEEKDAY($C$13:$C$43,2)&lt;6)*($D$13:$D$43="ND")))</f>
        <v>0</v>
      </c>
      <c r="L84" s="140"/>
      <c r="M84" s="140"/>
      <c r="N84" s="140"/>
      <c r="O84" s="140"/>
      <c r="P84" s="140"/>
      <c r="T84" s="242"/>
      <c r="U84" s="242"/>
      <c r="V84" s="242"/>
      <c r="W84" s="242"/>
      <c r="X84" s="242"/>
      <c r="Y84" s="242"/>
      <c r="Z84" s="242"/>
      <c r="AA84" s="242"/>
      <c r="AB84" s="242"/>
      <c r="AC84" s="242"/>
      <c r="AD84" s="242"/>
      <c r="AE84" s="242"/>
      <c r="AF84" s="242"/>
      <c r="AG84" s="242"/>
      <c r="AH84" s="302"/>
    </row>
    <row r="85" spans="1:34" s="59" customFormat="1" ht="13" customHeight="1">
      <c r="A85" s="140"/>
      <c r="C85" s="164" t="s">
        <v>244</v>
      </c>
      <c r="D85" s="165"/>
      <c r="E85" s="166"/>
      <c r="F85" s="166"/>
      <c r="G85" s="166"/>
      <c r="H85" s="167"/>
      <c r="L85" s="140"/>
      <c r="M85" s="140"/>
      <c r="N85" s="140"/>
      <c r="O85" s="140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242"/>
      <c r="AF85" s="242"/>
      <c r="AG85" s="242"/>
      <c r="AH85" s="302"/>
    </row>
    <row r="86" spans="1:34" s="59" customFormat="1" ht="13" customHeight="1">
      <c r="A86" s="140"/>
      <c r="C86" s="267" t="s">
        <v>401</v>
      </c>
      <c r="D86" s="268"/>
      <c r="E86" s="268"/>
      <c r="F86" s="268"/>
      <c r="G86" s="268"/>
      <c r="H86" s="163"/>
      <c r="L86" s="140"/>
      <c r="M86" s="140"/>
      <c r="N86" s="140"/>
      <c r="O86" s="140"/>
      <c r="T86" s="242"/>
      <c r="U86" s="242"/>
      <c r="V86" s="242"/>
      <c r="W86" s="242"/>
      <c r="X86" s="242"/>
      <c r="Y86" s="242"/>
      <c r="Z86" s="242"/>
      <c r="AA86" s="242"/>
      <c r="AB86" s="242"/>
      <c r="AC86" s="242"/>
      <c r="AD86" s="242"/>
      <c r="AE86" s="242"/>
      <c r="AF86" s="242"/>
      <c r="AG86" s="242"/>
      <c r="AH86" s="302"/>
    </row>
    <row r="87" spans="1:34" s="59" customFormat="1" ht="13" customHeight="1">
      <c r="A87" s="140"/>
      <c r="C87" s="121" t="s">
        <v>16</v>
      </c>
      <c r="D87" s="122"/>
      <c r="E87" s="122"/>
      <c r="F87" s="122"/>
      <c r="G87" s="122"/>
      <c r="H87" s="124">
        <f>SUMPRODUCT((WEEKDAY($B$14:$B$44,2)=7)*($D$14:$D$44="TD"))+SUMPRODUCT(($D$14:$D$44="TD")*($A$14:$A$44="Ft"))-SUMPRODUCT((WEEKDAY($B$14:$B$44,2)=7)*($D$14:$D$44="TD")*($A$14:$A$44="Ft"))</f>
        <v>0</v>
      </c>
      <c r="L87" s="140"/>
      <c r="M87" s="140"/>
      <c r="N87" s="140"/>
      <c r="O87" s="140"/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  <c r="AH87" s="302"/>
    </row>
    <row r="88" spans="1:34" s="59" customFormat="1" ht="13" customHeight="1">
      <c r="A88" s="140"/>
      <c r="C88" s="121" t="s">
        <v>225</v>
      </c>
      <c r="D88" s="122"/>
      <c r="E88" s="122"/>
      <c r="F88" s="122"/>
      <c r="G88" s="122"/>
      <c r="H88" s="124">
        <f>SUMPRODUCT((WEEKDAY($B$14:$B$44,2)=7)*($D$14:$D$44="TD5,5"))+SUMPRODUCT(($D$14:$D$44="TD5,5")*($A$14:$A$44="Ft"))-SUMPRODUCT((WEEKDAY($B$14:$B$44,2)=7)*($D$14:$D$44="TD5,5")*($A$14:$A$44="Ft"))</f>
        <v>0</v>
      </c>
      <c r="L88" s="140"/>
      <c r="M88" s="140"/>
      <c r="N88" s="140"/>
      <c r="O88" s="140"/>
      <c r="T88" s="242"/>
      <c r="U88" s="242"/>
      <c r="V88" s="242"/>
      <c r="W88" s="242"/>
      <c r="X88" s="242"/>
      <c r="Y88" s="242"/>
      <c r="Z88" s="242"/>
      <c r="AA88" s="242"/>
      <c r="AB88" s="242"/>
      <c r="AC88" s="242"/>
      <c r="AD88" s="242"/>
      <c r="AE88" s="242"/>
      <c r="AF88" s="242"/>
      <c r="AG88" s="242"/>
      <c r="AH88" s="302"/>
    </row>
    <row r="89" spans="1:34" s="59" customFormat="1" ht="13" customHeight="1">
      <c r="A89" s="140"/>
      <c r="C89" s="121" t="s">
        <v>88</v>
      </c>
      <c r="D89" s="122"/>
      <c r="E89" s="122"/>
      <c r="F89" s="122"/>
      <c r="G89" s="122"/>
      <c r="H89" s="124">
        <f>SUMPRODUCT((WEEKDAY($B$14:$B$44,2)=7)*($D$14:$D$44="TD6"))+SUMPRODUCT(($D$14:$D$44="TD6")*($A$14:$A$44="Ft"))-SUMPRODUCT((WEEKDAY($B$14:$B$44,2)=7)*($D$14:$D$44="TD6")*($A$14:$A$44="Ft"))</f>
        <v>0</v>
      </c>
      <c r="L89" s="140"/>
      <c r="M89" s="140"/>
      <c r="N89" s="140"/>
      <c r="O89" s="140"/>
      <c r="T89" s="242"/>
      <c r="U89" s="242"/>
      <c r="V89" s="242"/>
      <c r="W89" s="242"/>
      <c r="X89" s="242"/>
      <c r="Y89" s="242"/>
      <c r="Z89" s="242"/>
      <c r="AA89" s="242"/>
      <c r="AB89" s="242"/>
      <c r="AC89" s="242"/>
      <c r="AD89" s="242"/>
      <c r="AE89" s="242"/>
      <c r="AF89" s="242"/>
      <c r="AG89" s="242"/>
      <c r="AH89" s="302"/>
    </row>
    <row r="90" spans="1:34" s="59" customFormat="1" ht="13" customHeight="1">
      <c r="A90" s="140"/>
      <c r="C90" s="121" t="s">
        <v>184</v>
      </c>
      <c r="D90" s="122"/>
      <c r="E90" s="122"/>
      <c r="F90" s="122"/>
      <c r="G90" s="122"/>
      <c r="H90" s="124">
        <f>SUMPRODUCT((WEEKDAY($B$14:$B$44,2)=7)*($D$14:$D$44="TD6,25"))+SUMPRODUCT(($D$14:$D$44="TD6,25")*($A$14:$A$44="Ft"))-SUMPRODUCT((WEEKDAY($B$14:$B$44,2)=7)*($D$14:$D$44="TD6,25")*($A$14:$A$44="Ft"))</f>
        <v>0</v>
      </c>
      <c r="T90" s="242"/>
      <c r="U90" s="242"/>
      <c r="V90" s="242"/>
      <c r="W90" s="242"/>
      <c r="X90" s="242"/>
      <c r="Y90" s="242"/>
      <c r="Z90" s="242"/>
      <c r="AA90" s="242"/>
      <c r="AB90" s="242"/>
      <c r="AC90" s="242"/>
      <c r="AD90" s="242"/>
      <c r="AE90" s="242"/>
      <c r="AF90" s="242"/>
      <c r="AG90" s="242"/>
      <c r="AH90" s="302"/>
    </row>
    <row r="91" spans="1:34" s="59" customFormat="1" ht="13" customHeight="1">
      <c r="A91" s="140"/>
      <c r="C91" s="121" t="s">
        <v>209</v>
      </c>
      <c r="D91" s="122"/>
      <c r="E91" s="122"/>
      <c r="F91" s="122"/>
      <c r="G91" s="122"/>
      <c r="H91" s="124">
        <f>SUMPRODUCT((WEEKDAY($B$14:$B$44,2)=7)*($D$14:$D$44="TD6,5"))+SUMPRODUCT(($D$14:$D$44="TD6,5")*($A$14:$A$44="Ft"))-SUMPRODUCT((WEEKDAY($B$14:$B$44,2)=7)*($D$14:$D$44="TD6,5")*($A$14:$A$44="Ft"))</f>
        <v>0</v>
      </c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302"/>
    </row>
    <row r="92" spans="1:34" s="59" customFormat="1" ht="13" customHeight="1">
      <c r="A92" s="140"/>
      <c r="C92" s="121" t="s">
        <v>86</v>
      </c>
      <c r="D92" s="122"/>
      <c r="E92" s="122"/>
      <c r="F92" s="122"/>
      <c r="G92" s="122"/>
      <c r="H92" s="124">
        <f>SUMPRODUCT((WEEKDAY($B$14:$B$44,2)=7)*($D$14:$D$44="TD7"))+SUMPRODUCT(($D$14:$D$44="TD7")*($A$14:$A$44="Ft"))-SUMPRODUCT((WEEKDAY($B$14:$B$44,2)=7)*($D$14:$D$44="TD7")*($A$14:$A$44="Ft"))</f>
        <v>0</v>
      </c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302"/>
    </row>
    <row r="93" spans="1:34" s="59" customFormat="1" ht="13" customHeight="1">
      <c r="A93" s="140"/>
      <c r="C93" s="121" t="s">
        <v>213</v>
      </c>
      <c r="D93" s="122"/>
      <c r="E93" s="122"/>
      <c r="F93" s="122"/>
      <c r="G93" s="122"/>
      <c r="H93" s="124">
        <f>SUMPRODUCT((WEEKDAY($B$14:$B$44,2)=7)*($D$14:$D$44="TD7,5"))+SUMPRODUCT(($D$14:$D$44="TD7,5")*($A$14:$A$44="Ft"))-SUMPRODUCT((WEEKDAY($B$14:$B$44,2)=7)*($D$14:$D$44="TD7,5")*($A$14:$A$44="Ft"))</f>
        <v>0</v>
      </c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302"/>
    </row>
    <row r="94" spans="1:34" s="59" customFormat="1" ht="13" customHeight="1">
      <c r="A94" s="140"/>
      <c r="C94" s="121" t="s">
        <v>71</v>
      </c>
      <c r="D94" s="122"/>
      <c r="E94" s="122"/>
      <c r="F94" s="122"/>
      <c r="G94" s="122"/>
      <c r="H94" s="124">
        <f>SUMPRODUCT((WEEKDAY($B$14:$B$44,2)=7)*($D$14:$D$44="TD8"))+SUMPRODUCT(($D$14:$D$44="TD8")*($A$14:$A$44="Ft"))-SUMPRODUCT((WEEKDAY($B$14:$B$44,2)=7)*($D$14:$D$44="TD8")*($A$14:$A$44="Ft"))</f>
        <v>0</v>
      </c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42"/>
      <c r="AG94" s="242"/>
      <c r="AH94" s="302"/>
    </row>
    <row r="95" spans="1:34" s="59" customFormat="1" ht="13" customHeight="1">
      <c r="A95" s="140"/>
      <c r="C95" s="121" t="s">
        <v>214</v>
      </c>
      <c r="D95" s="122"/>
      <c r="E95" s="122"/>
      <c r="F95" s="122"/>
      <c r="G95" s="122"/>
      <c r="H95" s="124">
        <f>SUMPRODUCT((WEEKDAY($B$14:$B$44,2)=7)*($D$14:$D$44="TD8,5"))+SUMPRODUCT(($D$14:$D$44="TD8,5")*($A$14:$A$44="Ft"))-SUMPRODUCT((WEEKDAY($B$14:$B$44,2)=7)*($D$14:$D$44="TD8,5")*($A$14:$A$44="Ft"))</f>
        <v>0</v>
      </c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302"/>
    </row>
    <row r="96" spans="1:34" ht="13" customHeight="1">
      <c r="C96" s="121" t="s">
        <v>84</v>
      </c>
      <c r="D96" s="122"/>
      <c r="E96" s="122"/>
      <c r="F96" s="122"/>
      <c r="G96" s="122"/>
      <c r="H96" s="12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21" t="s">
        <v>215</v>
      </c>
      <c r="D97" s="122"/>
      <c r="E97" s="122"/>
      <c r="F97" s="122"/>
      <c r="G97" s="122"/>
      <c r="H97" s="12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21" t="s">
        <v>413</v>
      </c>
      <c r="D98" s="122"/>
      <c r="E98" s="122"/>
      <c r="F98" s="122"/>
      <c r="G98" s="122"/>
      <c r="H98" s="12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21" t="s">
        <v>216</v>
      </c>
      <c r="D99" s="122"/>
      <c r="E99" s="122"/>
      <c r="F99" s="122"/>
      <c r="G99" s="122"/>
      <c r="H99" s="12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21" t="s">
        <v>217</v>
      </c>
      <c r="D100" s="122"/>
      <c r="E100" s="122"/>
      <c r="F100" s="122"/>
      <c r="G100" s="122"/>
      <c r="H100" s="12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21" t="s">
        <v>210</v>
      </c>
      <c r="D101" s="122"/>
      <c r="E101" s="122"/>
      <c r="F101" s="122"/>
      <c r="G101" s="122"/>
      <c r="H101" s="12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21" t="s">
        <v>218</v>
      </c>
      <c r="D102" s="122"/>
      <c r="E102" s="122"/>
      <c r="F102" s="122"/>
      <c r="G102" s="122"/>
      <c r="H102" s="12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21" t="s">
        <v>119</v>
      </c>
      <c r="D103" s="122"/>
      <c r="E103" s="122"/>
      <c r="F103" s="122"/>
      <c r="G103" s="122"/>
      <c r="H103" s="12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62" t="s">
        <v>149</v>
      </c>
      <c r="D104" s="263"/>
      <c r="E104" s="263"/>
      <c r="F104" s="263"/>
      <c r="G104" s="263"/>
      <c r="H104" s="162"/>
    </row>
    <row r="105" spans="3:8" ht="13" customHeight="1">
      <c r="C105" s="121" t="s">
        <v>153</v>
      </c>
      <c r="D105" s="122"/>
      <c r="E105" s="122"/>
      <c r="F105" s="122"/>
      <c r="G105" s="122"/>
      <c r="H105" s="124">
        <f>SUMPRODUCT((WEEKDAY($B$13:$B$43,2)=6)*($D$13:$D$43="ND12,5"))-SUMPRODUCT((WEEKDAY($B$13:$B$43,2)=6)*($D$13:$D$43="ND12,5")*($A$13:$A$43="Ft"))</f>
        <v>0</v>
      </c>
    </row>
    <row r="106" spans="3:8">
      <c r="C106" s="121" t="s">
        <v>150</v>
      </c>
      <c r="D106" s="125"/>
      <c r="E106" s="125"/>
      <c r="F106" s="125"/>
      <c r="G106" s="125"/>
      <c r="H106" s="124">
        <f>SUMPRODUCT((WEEKDAY($B$14:$B$44,2)=7)*($D$14:$D$44="ND12,5"))-SUMPRODUCT((WEEKDAY($B$14:$B$44,2)=7)*($D$14:$D$44="ND12,5")*($A$14:$A$44="Ft"))</f>
        <v>0</v>
      </c>
    </row>
    <row r="107" spans="3:8">
      <c r="C107" s="121" t="s">
        <v>151</v>
      </c>
      <c r="D107" s="125"/>
      <c r="E107" s="125"/>
      <c r="F107" s="125"/>
      <c r="G107" s="125"/>
      <c r="H107" s="124">
        <f>SUMPRODUCT(($D$14:$D$44="ND12,5")*($A$14:$A$44="Ft"))</f>
        <v>0</v>
      </c>
    </row>
    <row r="108" spans="3:8">
      <c r="C108" s="121" t="s">
        <v>155</v>
      </c>
      <c r="D108" s="125"/>
      <c r="E108" s="125"/>
      <c r="F108" s="125"/>
      <c r="G108" s="125"/>
      <c r="H108" s="12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21" t="s">
        <v>156</v>
      </c>
      <c r="D109" s="125"/>
      <c r="E109" s="125"/>
      <c r="F109" s="125"/>
      <c r="G109" s="125"/>
      <c r="H109" s="124">
        <f>SUMPRODUCT(($A$13:$A$43="Ft")*($D$13:$D$43="ND12,5")*($A$14:$A$44="Ft"))</f>
        <v>0</v>
      </c>
    </row>
    <row r="110" spans="3:8">
      <c r="C110" s="121" t="s">
        <v>157</v>
      </c>
      <c r="D110" s="125"/>
      <c r="E110" s="125"/>
      <c r="F110" s="125"/>
      <c r="G110" s="125"/>
      <c r="H110" s="12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26" t="s">
        <v>154</v>
      </c>
      <c r="D111" s="161"/>
      <c r="E111" s="161"/>
      <c r="F111" s="161"/>
      <c r="G111" s="161"/>
      <c r="H111" s="199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077kuSLCB8YrjBvTgOCk6nOL7/xA+6FkOXF16+Bn05tlve2Vahgri9GtZlqYedOZekcrOwcDAF90a12qJJrG4w==" saltValue="ON7HdgCH7Ohk0JNAMGwb5A==" spinCount="100000" sheet="1" selectLockedCells="1"/>
  <mergeCells count="63">
    <mergeCell ref="N70:O70"/>
    <mergeCell ref="N71:O71"/>
    <mergeCell ref="N72:O72"/>
    <mergeCell ref="C50:D50"/>
    <mergeCell ref="G54:I54"/>
    <mergeCell ref="N60:O60"/>
    <mergeCell ref="N50:P51"/>
    <mergeCell ref="N58:P59"/>
    <mergeCell ref="N52:O52"/>
    <mergeCell ref="N53:O53"/>
    <mergeCell ref="N54:O54"/>
    <mergeCell ref="N57:O57"/>
    <mergeCell ref="N55:O55"/>
    <mergeCell ref="N56:O56"/>
    <mergeCell ref="N69:O69"/>
    <mergeCell ref="N67:O67"/>
    <mergeCell ref="B8:C8"/>
    <mergeCell ref="K8:M8"/>
    <mergeCell ref="N8:P8"/>
    <mergeCell ref="L9:L11"/>
    <mergeCell ref="N13:O13"/>
    <mergeCell ref="E8:G8"/>
    <mergeCell ref="H8:J8"/>
    <mergeCell ref="B3:J4"/>
    <mergeCell ref="B7:C7"/>
    <mergeCell ref="E7:G7"/>
    <mergeCell ref="K5:M5"/>
    <mergeCell ref="N6:P6"/>
    <mergeCell ref="N7:P7"/>
    <mergeCell ref="H7:J7"/>
    <mergeCell ref="K6:M6"/>
    <mergeCell ref="K7:M7"/>
    <mergeCell ref="N5:P5"/>
    <mergeCell ref="B5:E5"/>
    <mergeCell ref="B6:E6"/>
    <mergeCell ref="F5:J5"/>
    <mergeCell ref="F6:J6"/>
    <mergeCell ref="AG10:AG11"/>
    <mergeCell ref="P9:P11"/>
    <mergeCell ref="O9:O11"/>
    <mergeCell ref="B9:C11"/>
    <mergeCell ref="D9:D11"/>
    <mergeCell ref="E9:E11"/>
    <mergeCell ref="N9:N11"/>
    <mergeCell ref="H9:I10"/>
    <mergeCell ref="F9:G10"/>
    <mergeCell ref="M9:M11"/>
    <mergeCell ref="J9:J11"/>
    <mergeCell ref="K9:K11"/>
    <mergeCell ref="AF10:AF11"/>
    <mergeCell ref="U10:Y10"/>
    <mergeCell ref="AA10:AE10"/>
    <mergeCell ref="S9:S11"/>
    <mergeCell ref="N68:O68"/>
    <mergeCell ref="Q9:Q11"/>
    <mergeCell ref="R9:R11"/>
    <mergeCell ref="L48:O48"/>
    <mergeCell ref="N61:O61"/>
    <mergeCell ref="N62:O62"/>
    <mergeCell ref="L47:O47"/>
    <mergeCell ref="N66:O66"/>
    <mergeCell ref="N63:O63"/>
    <mergeCell ref="N64:P65"/>
  </mergeCells>
  <conditionalFormatting sqref="A13:A45">
    <cfRule type="cellIs" dxfId="471" priority="1" operator="equal">
      <formula>"HFT"</formula>
    </cfRule>
    <cfRule type="cellIs" dxfId="470" priority="94" operator="equal">
      <formula>"FT"</formula>
    </cfRule>
  </conditionalFormatting>
  <conditionalFormatting sqref="B13:C44">
    <cfRule type="expression" dxfId="468" priority="95">
      <formula>WEEKDAY($C13,2)&gt;5</formula>
    </cfRule>
  </conditionalFormatting>
  <conditionalFormatting sqref="E8">
    <cfRule type="cellIs" dxfId="467" priority="32" operator="greaterThan">
      <formula>48</formula>
    </cfRule>
  </conditionalFormatting>
  <conditionalFormatting sqref="I47:K47">
    <cfRule type="cellIs" dxfId="466" priority="48" operator="equal">
      <formula>"Wochenarbeitszeit überschritten"</formula>
    </cfRule>
  </conditionalFormatting>
  <conditionalFormatting sqref="J45:P45">
    <cfRule type="cellIs" dxfId="465" priority="57" operator="equal">
      <formula>0</formula>
    </cfRule>
  </conditionalFormatting>
  <conditionalFormatting sqref="K8">
    <cfRule type="cellIs" dxfId="464" priority="80" operator="greaterThan">
      <formula>$N$8</formula>
    </cfRule>
    <cfRule type="cellIs" dxfId="463" priority="81" operator="lessThan">
      <formula>$N$8</formula>
    </cfRule>
    <cfRule type="cellIs" dxfId="462" priority="79" operator="equal">
      <formula>$N$8</formula>
    </cfRule>
  </conditionalFormatting>
  <conditionalFormatting sqref="K14:K44">
    <cfRule type="cellIs" dxfId="461" priority="51" operator="greaterThan">
      <formula>0</formula>
    </cfRule>
    <cfRule type="cellIs" dxfId="460" priority="50" operator="lessThanOrEqual">
      <formula>0</formula>
    </cfRule>
  </conditionalFormatting>
  <conditionalFormatting sqref="K45">
    <cfRule type="cellIs" dxfId="459" priority="78" operator="lessThan">
      <formula>0</formula>
    </cfRule>
  </conditionalFormatting>
  <conditionalFormatting sqref="N14:O44">
    <cfRule type="cellIs" dxfId="458" priority="63" operator="equal">
      <formula>0</formula>
    </cfRule>
  </conditionalFormatting>
  <conditionalFormatting sqref="P13:P44">
    <cfRule type="cellIs" dxfId="457" priority="56" operator="equal">
      <formula>0</formula>
    </cfRule>
  </conditionalFormatting>
  <conditionalFormatting sqref="P60:P63">
    <cfRule type="cellIs" dxfId="456" priority="6" operator="lessThan">
      <formula>0</formula>
    </cfRule>
  </conditionalFormatting>
  <conditionalFormatting sqref="Q47">
    <cfRule type="cellIs" dxfId="455" priority="64" operator="equal">
      <formula>0</formula>
    </cfRule>
  </conditionalFormatting>
  <conditionalFormatting sqref="T51:W51">
    <cfRule type="cellIs" dxfId="454" priority="91" operator="equal">
      <formula>0</formula>
    </cfRule>
  </conditionalFormatting>
  <conditionalFormatting sqref="T14:Y44">
    <cfRule type="cellIs" dxfId="453" priority="7" operator="equal">
      <formula>0</formula>
    </cfRule>
  </conditionalFormatting>
  <conditionalFormatting sqref="T45:AE45">
    <cfRule type="cellIs" dxfId="452" priority="61" operator="equal">
      <formula>0</formula>
    </cfRule>
  </conditionalFormatting>
  <conditionalFormatting sqref="U51:Y53">
    <cfRule type="cellIs" dxfId="451" priority="8" operator="equal">
      <formula>0</formula>
    </cfRule>
  </conditionalFormatting>
  <conditionalFormatting sqref="V13:Y13">
    <cfRule type="cellIs" dxfId="450" priority="69" operator="equal">
      <formula>0</formula>
    </cfRule>
  </conditionalFormatting>
  <conditionalFormatting sqref="W52">
    <cfRule type="cellIs" dxfId="449" priority="31" operator="equal">
      <formula>0</formula>
    </cfRule>
  </conditionalFormatting>
  <conditionalFormatting sqref="Z13:Z44">
    <cfRule type="cellIs" dxfId="448" priority="71" operator="equal">
      <formula>0</formula>
    </cfRule>
  </conditionalFormatting>
  <conditionalFormatting sqref="Z51:AC51">
    <cfRule type="cellIs" dxfId="447" priority="72" operator="equal">
      <formula>0</formula>
    </cfRule>
  </conditionalFormatting>
  <conditionalFormatting sqref="AA14:AE44">
    <cfRule type="cellIs" dxfId="446" priority="33" operator="equal">
      <formula>0</formula>
    </cfRule>
  </conditionalFormatting>
  <conditionalFormatting sqref="AA51:AE52">
    <cfRule type="cellIs" dxfId="445" priority="60" operator="equal">
      <formula>0</formula>
    </cfRule>
  </conditionalFormatting>
  <conditionalFormatting sqref="AC13:AE13">
    <cfRule type="cellIs" dxfId="444" priority="42" operator="equal">
      <formula>0</formula>
    </cfRule>
  </conditionalFormatting>
  <conditionalFormatting sqref="AF13:AG44">
    <cfRule type="cellIs" dxfId="443" priority="20" operator="equal">
      <formula>0</formula>
    </cfRule>
  </conditionalFormatting>
  <conditionalFormatting sqref="AG51:AH51">
    <cfRule type="cellIs" dxfId="442" priority="5" operator="equal">
      <formula>0</formula>
    </cfRule>
  </conditionalFormatting>
  <conditionalFormatting sqref="AH14:AH44 AH51:AH52">
    <cfRule type="cellIs" dxfId="441" priority="3" operator="equal">
      <formula>0</formula>
    </cfRule>
  </conditionalFormatting>
  <dataValidations count="4">
    <dataValidation type="list" allowBlank="1" showInputMessage="1" showErrorMessage="1" error="Die Eingabe ist unzulässig_x000a_Bitte Drop Down Felder verwenden" sqref="F14:G44" xr:uid="{00000000-0002-0000-0300-000001000000}">
      <formula1>Zeiten1</formula1>
    </dataValidation>
    <dataValidation type="list" allowBlank="1" showInputMessage="1" showErrorMessage="1" sqref="J14:J44" xr:uid="{00000000-0002-0000-0300-000002000000}">
      <formula1>AbwesenheitenStunden</formula1>
    </dataValidation>
    <dataValidation type="decimal" allowBlank="1" showInputMessage="1" showErrorMessage="1" error="Die ausgewählte Stundenanzahl steht nicht zur Verfügung!" sqref="J54" xr:uid="{00000000-0002-0000-0300-000003000000}">
      <formula1>0</formula1>
      <formula2>K54</formula2>
    </dataValidation>
    <dataValidation type="list" allowBlank="1" showInputMessage="1" showErrorMessage="1" sqref="H14:I44" xr:uid="{47D0D4E1-3D3B-40E7-A6E8-EA573C65FA1B}">
      <formula1>Zeiten2</formula1>
    </dataValidation>
  </dataValidations>
  <pageMargins left="0" right="0" top="0" bottom="0" header="0" footer="0"/>
  <pageSetup paperSize="9" orientation="landscape" horizontalDpi="4294967293" verticalDpi="1200" r:id="rId1"/>
  <ignoredErrors>
    <ignoredError sqref="U52" formula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7" id="{C8286F44-AD15-404D-96B3-011E74D04950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300-000007000000}">
          <x14:formula1>
            <xm:f>Datenblatt!$D$58:$D$59</xm:f>
          </x14:formula1>
          <xm:sqref>J58 P47</xm:sqref>
        </x14:dataValidation>
        <x14:dataValidation type="list" allowBlank="1" showInputMessage="1" showErrorMessage="1" xr:uid="{00000000-0002-0000-0300-000009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6DE4555D-8E49-47E7-B8AF-C1BE43095ACD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72CCDC77-A500-49DB-93A4-AAFE991690B3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749C7275-B8DB-479F-9181-FE8D246C0353}">
          <x14:formula1>
            <xm:f>Datenblatt!$D$52:$D$53</xm:f>
          </x14:formula1>
          <xm:sqref>P48</xm:sqref>
        </x14:dataValidation>
        <x14:dataValidation type="list" allowBlank="1" showInputMessage="1" showErrorMessage="1" error="Die Eingabe ist unzulässig_x000a_Bitte Drop Down Felder verwenden" xr:uid="{00000000-0002-0000-0300-000008000000}">
          <x14:formula1>
            <xm:f>Datenblatt!$I$19:$I$20</xm:f>
          </x14:formula1>
          <xm:sqref>E13</xm:sqref>
        </x14:dataValidation>
        <x14:dataValidation type="list" allowBlank="1" showInputMessage="1" showErrorMessage="1" error="Die Eingabe ist unzulässig_x000a_Bitte Drop Down Felder verwenden" xr:uid="{905380BD-AF6D-4F67-8887-E50777B5C06A}">
          <x14:formula1>
            <xm:f>Datenblatt!$A$19:$A$20</xm:f>
          </x14:formula1>
          <xm:sqref>D13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71" customWidth="1"/>
    <col min="2" max="2" width="3.1640625" style="56" customWidth="1"/>
    <col min="3" max="3" width="8.83203125" style="56" customWidth="1"/>
    <col min="4" max="5" width="9.83203125" style="56" customWidth="1"/>
    <col min="6" max="10" width="9.1640625" style="56" customWidth="1"/>
    <col min="11" max="16" width="8.83203125" style="56" customWidth="1"/>
    <col min="17" max="17" width="23.5" style="66" customWidth="1"/>
    <col min="18" max="18" width="36.5" style="66" customWidth="1"/>
    <col min="19" max="19" width="43.5" style="56" customWidth="1"/>
    <col min="20" max="33" width="7.1640625" style="234" customWidth="1"/>
    <col min="34" max="34" width="7.1640625" style="301" customWidth="1"/>
    <col min="35" max="264" width="11.5" style="56"/>
    <col min="265" max="265" width="0.5" style="56" customWidth="1"/>
    <col min="266" max="266" width="3.1640625" style="56" customWidth="1"/>
    <col min="267" max="267" width="8.83203125" style="56" customWidth="1"/>
    <col min="268" max="268" width="14.83203125" style="56" customWidth="1"/>
    <col min="269" max="270" width="6.5" style="56" customWidth="1"/>
    <col min="271" max="271" width="14.83203125" style="56" customWidth="1"/>
    <col min="272" max="273" width="11.5" style="56" customWidth="1"/>
    <col min="274" max="274" width="6.1640625" style="56" customWidth="1"/>
    <col min="275" max="275" width="22.83203125" style="56" customWidth="1"/>
    <col min="276" max="276" width="11.5" style="56" customWidth="1"/>
    <col min="277" max="277" width="13.83203125" style="56" customWidth="1"/>
    <col min="278" max="278" width="5.83203125" style="56" customWidth="1"/>
    <col min="279" max="279" width="15.5" style="56" customWidth="1"/>
    <col min="280" max="520" width="11.5" style="56"/>
    <col min="521" max="521" width="0.5" style="56" customWidth="1"/>
    <col min="522" max="522" width="3.1640625" style="56" customWidth="1"/>
    <col min="523" max="523" width="8.83203125" style="56" customWidth="1"/>
    <col min="524" max="524" width="14.83203125" style="56" customWidth="1"/>
    <col min="525" max="526" width="6.5" style="56" customWidth="1"/>
    <col min="527" max="527" width="14.83203125" style="56" customWidth="1"/>
    <col min="528" max="529" width="11.5" style="56" customWidth="1"/>
    <col min="530" max="530" width="6.1640625" style="56" customWidth="1"/>
    <col min="531" max="531" width="22.83203125" style="56" customWidth="1"/>
    <col min="532" max="532" width="11.5" style="56" customWidth="1"/>
    <col min="533" max="533" width="13.83203125" style="56" customWidth="1"/>
    <col min="534" max="534" width="5.83203125" style="56" customWidth="1"/>
    <col min="535" max="535" width="15.5" style="56" customWidth="1"/>
    <col min="536" max="776" width="11.5" style="56"/>
    <col min="777" max="777" width="0.5" style="56" customWidth="1"/>
    <col min="778" max="778" width="3.1640625" style="56" customWidth="1"/>
    <col min="779" max="779" width="8.83203125" style="56" customWidth="1"/>
    <col min="780" max="780" width="14.83203125" style="56" customWidth="1"/>
    <col min="781" max="782" width="6.5" style="56" customWidth="1"/>
    <col min="783" max="783" width="14.83203125" style="56" customWidth="1"/>
    <col min="784" max="785" width="11.5" style="56" customWidth="1"/>
    <col min="786" max="786" width="6.1640625" style="56" customWidth="1"/>
    <col min="787" max="787" width="22.83203125" style="56" customWidth="1"/>
    <col min="788" max="788" width="11.5" style="56" customWidth="1"/>
    <col min="789" max="789" width="13.83203125" style="56" customWidth="1"/>
    <col min="790" max="790" width="5.83203125" style="56" customWidth="1"/>
    <col min="791" max="791" width="15.5" style="56" customWidth="1"/>
    <col min="792" max="1032" width="11.5" style="56"/>
    <col min="1033" max="1033" width="0.5" style="56" customWidth="1"/>
    <col min="1034" max="1034" width="3.1640625" style="56" customWidth="1"/>
    <col min="1035" max="1035" width="8.83203125" style="56" customWidth="1"/>
    <col min="1036" max="1036" width="14.83203125" style="56" customWidth="1"/>
    <col min="1037" max="1038" width="6.5" style="56" customWidth="1"/>
    <col min="1039" max="1039" width="14.83203125" style="56" customWidth="1"/>
    <col min="1040" max="1041" width="11.5" style="56" customWidth="1"/>
    <col min="1042" max="1042" width="6.1640625" style="56" customWidth="1"/>
    <col min="1043" max="1043" width="22.83203125" style="56" customWidth="1"/>
    <col min="1044" max="1044" width="11.5" style="56" customWidth="1"/>
    <col min="1045" max="1045" width="13.83203125" style="56" customWidth="1"/>
    <col min="1046" max="1046" width="5.83203125" style="56" customWidth="1"/>
    <col min="1047" max="1047" width="15.5" style="56" customWidth="1"/>
    <col min="1048" max="1288" width="11.5" style="56"/>
    <col min="1289" max="1289" width="0.5" style="56" customWidth="1"/>
    <col min="1290" max="1290" width="3.1640625" style="56" customWidth="1"/>
    <col min="1291" max="1291" width="8.83203125" style="56" customWidth="1"/>
    <col min="1292" max="1292" width="14.83203125" style="56" customWidth="1"/>
    <col min="1293" max="1294" width="6.5" style="56" customWidth="1"/>
    <col min="1295" max="1295" width="14.83203125" style="56" customWidth="1"/>
    <col min="1296" max="1297" width="11.5" style="56" customWidth="1"/>
    <col min="1298" max="1298" width="6.1640625" style="56" customWidth="1"/>
    <col min="1299" max="1299" width="22.83203125" style="56" customWidth="1"/>
    <col min="1300" max="1300" width="11.5" style="56" customWidth="1"/>
    <col min="1301" max="1301" width="13.83203125" style="56" customWidth="1"/>
    <col min="1302" max="1302" width="5.83203125" style="56" customWidth="1"/>
    <col min="1303" max="1303" width="15.5" style="56" customWidth="1"/>
    <col min="1304" max="1544" width="11.5" style="56"/>
    <col min="1545" max="1545" width="0.5" style="56" customWidth="1"/>
    <col min="1546" max="1546" width="3.1640625" style="56" customWidth="1"/>
    <col min="1547" max="1547" width="8.83203125" style="56" customWidth="1"/>
    <col min="1548" max="1548" width="14.83203125" style="56" customWidth="1"/>
    <col min="1549" max="1550" width="6.5" style="56" customWidth="1"/>
    <col min="1551" max="1551" width="14.83203125" style="56" customWidth="1"/>
    <col min="1552" max="1553" width="11.5" style="56" customWidth="1"/>
    <col min="1554" max="1554" width="6.1640625" style="56" customWidth="1"/>
    <col min="1555" max="1555" width="22.83203125" style="56" customWidth="1"/>
    <col min="1556" max="1556" width="11.5" style="56" customWidth="1"/>
    <col min="1557" max="1557" width="13.83203125" style="56" customWidth="1"/>
    <col min="1558" max="1558" width="5.83203125" style="56" customWidth="1"/>
    <col min="1559" max="1559" width="15.5" style="56" customWidth="1"/>
    <col min="1560" max="1800" width="11.5" style="56"/>
    <col min="1801" max="1801" width="0.5" style="56" customWidth="1"/>
    <col min="1802" max="1802" width="3.1640625" style="56" customWidth="1"/>
    <col min="1803" max="1803" width="8.83203125" style="56" customWidth="1"/>
    <col min="1804" max="1804" width="14.83203125" style="56" customWidth="1"/>
    <col min="1805" max="1806" width="6.5" style="56" customWidth="1"/>
    <col min="1807" max="1807" width="14.83203125" style="56" customWidth="1"/>
    <col min="1808" max="1809" width="11.5" style="56" customWidth="1"/>
    <col min="1810" max="1810" width="6.1640625" style="56" customWidth="1"/>
    <col min="1811" max="1811" width="22.83203125" style="56" customWidth="1"/>
    <col min="1812" max="1812" width="11.5" style="56" customWidth="1"/>
    <col min="1813" max="1813" width="13.83203125" style="56" customWidth="1"/>
    <col min="1814" max="1814" width="5.83203125" style="56" customWidth="1"/>
    <col min="1815" max="1815" width="15.5" style="56" customWidth="1"/>
    <col min="1816" max="2056" width="11.5" style="56"/>
    <col min="2057" max="2057" width="0.5" style="56" customWidth="1"/>
    <col min="2058" max="2058" width="3.1640625" style="56" customWidth="1"/>
    <col min="2059" max="2059" width="8.83203125" style="56" customWidth="1"/>
    <col min="2060" max="2060" width="14.83203125" style="56" customWidth="1"/>
    <col min="2061" max="2062" width="6.5" style="56" customWidth="1"/>
    <col min="2063" max="2063" width="14.83203125" style="56" customWidth="1"/>
    <col min="2064" max="2065" width="11.5" style="56" customWidth="1"/>
    <col min="2066" max="2066" width="6.1640625" style="56" customWidth="1"/>
    <col min="2067" max="2067" width="22.83203125" style="56" customWidth="1"/>
    <col min="2068" max="2068" width="11.5" style="56" customWidth="1"/>
    <col min="2069" max="2069" width="13.83203125" style="56" customWidth="1"/>
    <col min="2070" max="2070" width="5.83203125" style="56" customWidth="1"/>
    <col min="2071" max="2071" width="15.5" style="56" customWidth="1"/>
    <col min="2072" max="2312" width="11.5" style="56"/>
    <col min="2313" max="2313" width="0.5" style="56" customWidth="1"/>
    <col min="2314" max="2314" width="3.1640625" style="56" customWidth="1"/>
    <col min="2315" max="2315" width="8.83203125" style="56" customWidth="1"/>
    <col min="2316" max="2316" width="14.83203125" style="56" customWidth="1"/>
    <col min="2317" max="2318" width="6.5" style="56" customWidth="1"/>
    <col min="2319" max="2319" width="14.83203125" style="56" customWidth="1"/>
    <col min="2320" max="2321" width="11.5" style="56" customWidth="1"/>
    <col min="2322" max="2322" width="6.1640625" style="56" customWidth="1"/>
    <col min="2323" max="2323" width="22.83203125" style="56" customWidth="1"/>
    <col min="2324" max="2324" width="11.5" style="56" customWidth="1"/>
    <col min="2325" max="2325" width="13.83203125" style="56" customWidth="1"/>
    <col min="2326" max="2326" width="5.83203125" style="56" customWidth="1"/>
    <col min="2327" max="2327" width="15.5" style="56" customWidth="1"/>
    <col min="2328" max="2568" width="11.5" style="56"/>
    <col min="2569" max="2569" width="0.5" style="56" customWidth="1"/>
    <col min="2570" max="2570" width="3.1640625" style="56" customWidth="1"/>
    <col min="2571" max="2571" width="8.83203125" style="56" customWidth="1"/>
    <col min="2572" max="2572" width="14.83203125" style="56" customWidth="1"/>
    <col min="2573" max="2574" width="6.5" style="56" customWidth="1"/>
    <col min="2575" max="2575" width="14.83203125" style="56" customWidth="1"/>
    <col min="2576" max="2577" width="11.5" style="56" customWidth="1"/>
    <col min="2578" max="2578" width="6.1640625" style="56" customWidth="1"/>
    <col min="2579" max="2579" width="22.83203125" style="56" customWidth="1"/>
    <col min="2580" max="2580" width="11.5" style="56" customWidth="1"/>
    <col min="2581" max="2581" width="13.83203125" style="56" customWidth="1"/>
    <col min="2582" max="2582" width="5.83203125" style="56" customWidth="1"/>
    <col min="2583" max="2583" width="15.5" style="56" customWidth="1"/>
    <col min="2584" max="2824" width="11.5" style="56"/>
    <col min="2825" max="2825" width="0.5" style="56" customWidth="1"/>
    <col min="2826" max="2826" width="3.1640625" style="56" customWidth="1"/>
    <col min="2827" max="2827" width="8.83203125" style="56" customWidth="1"/>
    <col min="2828" max="2828" width="14.83203125" style="56" customWidth="1"/>
    <col min="2829" max="2830" width="6.5" style="56" customWidth="1"/>
    <col min="2831" max="2831" width="14.83203125" style="56" customWidth="1"/>
    <col min="2832" max="2833" width="11.5" style="56" customWidth="1"/>
    <col min="2834" max="2834" width="6.1640625" style="56" customWidth="1"/>
    <col min="2835" max="2835" width="22.83203125" style="56" customWidth="1"/>
    <col min="2836" max="2836" width="11.5" style="56" customWidth="1"/>
    <col min="2837" max="2837" width="13.83203125" style="56" customWidth="1"/>
    <col min="2838" max="2838" width="5.83203125" style="56" customWidth="1"/>
    <col min="2839" max="2839" width="15.5" style="56" customWidth="1"/>
    <col min="2840" max="3080" width="11.5" style="56"/>
    <col min="3081" max="3081" width="0.5" style="56" customWidth="1"/>
    <col min="3082" max="3082" width="3.1640625" style="56" customWidth="1"/>
    <col min="3083" max="3083" width="8.83203125" style="56" customWidth="1"/>
    <col min="3084" max="3084" width="14.83203125" style="56" customWidth="1"/>
    <col min="3085" max="3086" width="6.5" style="56" customWidth="1"/>
    <col min="3087" max="3087" width="14.83203125" style="56" customWidth="1"/>
    <col min="3088" max="3089" width="11.5" style="56" customWidth="1"/>
    <col min="3090" max="3090" width="6.1640625" style="56" customWidth="1"/>
    <col min="3091" max="3091" width="22.83203125" style="56" customWidth="1"/>
    <col min="3092" max="3092" width="11.5" style="56" customWidth="1"/>
    <col min="3093" max="3093" width="13.83203125" style="56" customWidth="1"/>
    <col min="3094" max="3094" width="5.83203125" style="56" customWidth="1"/>
    <col min="3095" max="3095" width="15.5" style="56" customWidth="1"/>
    <col min="3096" max="3336" width="11.5" style="56"/>
    <col min="3337" max="3337" width="0.5" style="56" customWidth="1"/>
    <col min="3338" max="3338" width="3.1640625" style="56" customWidth="1"/>
    <col min="3339" max="3339" width="8.83203125" style="56" customWidth="1"/>
    <col min="3340" max="3340" width="14.83203125" style="56" customWidth="1"/>
    <col min="3341" max="3342" width="6.5" style="56" customWidth="1"/>
    <col min="3343" max="3343" width="14.83203125" style="56" customWidth="1"/>
    <col min="3344" max="3345" width="11.5" style="56" customWidth="1"/>
    <col min="3346" max="3346" width="6.1640625" style="56" customWidth="1"/>
    <col min="3347" max="3347" width="22.83203125" style="56" customWidth="1"/>
    <col min="3348" max="3348" width="11.5" style="56" customWidth="1"/>
    <col min="3349" max="3349" width="13.83203125" style="56" customWidth="1"/>
    <col min="3350" max="3350" width="5.83203125" style="56" customWidth="1"/>
    <col min="3351" max="3351" width="15.5" style="56" customWidth="1"/>
    <col min="3352" max="3592" width="11.5" style="56"/>
    <col min="3593" max="3593" width="0.5" style="56" customWidth="1"/>
    <col min="3594" max="3594" width="3.1640625" style="56" customWidth="1"/>
    <col min="3595" max="3595" width="8.83203125" style="56" customWidth="1"/>
    <col min="3596" max="3596" width="14.83203125" style="56" customWidth="1"/>
    <col min="3597" max="3598" width="6.5" style="56" customWidth="1"/>
    <col min="3599" max="3599" width="14.83203125" style="56" customWidth="1"/>
    <col min="3600" max="3601" width="11.5" style="56" customWidth="1"/>
    <col min="3602" max="3602" width="6.1640625" style="56" customWidth="1"/>
    <col min="3603" max="3603" width="22.83203125" style="56" customWidth="1"/>
    <col min="3604" max="3604" width="11.5" style="56" customWidth="1"/>
    <col min="3605" max="3605" width="13.83203125" style="56" customWidth="1"/>
    <col min="3606" max="3606" width="5.83203125" style="56" customWidth="1"/>
    <col min="3607" max="3607" width="15.5" style="56" customWidth="1"/>
    <col min="3608" max="3848" width="11.5" style="56"/>
    <col min="3849" max="3849" width="0.5" style="56" customWidth="1"/>
    <col min="3850" max="3850" width="3.1640625" style="56" customWidth="1"/>
    <col min="3851" max="3851" width="8.83203125" style="56" customWidth="1"/>
    <col min="3852" max="3852" width="14.83203125" style="56" customWidth="1"/>
    <col min="3853" max="3854" width="6.5" style="56" customWidth="1"/>
    <col min="3855" max="3855" width="14.83203125" style="56" customWidth="1"/>
    <col min="3856" max="3857" width="11.5" style="56" customWidth="1"/>
    <col min="3858" max="3858" width="6.1640625" style="56" customWidth="1"/>
    <col min="3859" max="3859" width="22.83203125" style="56" customWidth="1"/>
    <col min="3860" max="3860" width="11.5" style="56" customWidth="1"/>
    <col min="3861" max="3861" width="13.83203125" style="56" customWidth="1"/>
    <col min="3862" max="3862" width="5.83203125" style="56" customWidth="1"/>
    <col min="3863" max="3863" width="15.5" style="56" customWidth="1"/>
    <col min="3864" max="4104" width="11.5" style="56"/>
    <col min="4105" max="4105" width="0.5" style="56" customWidth="1"/>
    <col min="4106" max="4106" width="3.1640625" style="56" customWidth="1"/>
    <col min="4107" max="4107" width="8.83203125" style="56" customWidth="1"/>
    <col min="4108" max="4108" width="14.83203125" style="56" customWidth="1"/>
    <col min="4109" max="4110" width="6.5" style="56" customWidth="1"/>
    <col min="4111" max="4111" width="14.83203125" style="56" customWidth="1"/>
    <col min="4112" max="4113" width="11.5" style="56" customWidth="1"/>
    <col min="4114" max="4114" width="6.1640625" style="56" customWidth="1"/>
    <col min="4115" max="4115" width="22.83203125" style="56" customWidth="1"/>
    <col min="4116" max="4116" width="11.5" style="56" customWidth="1"/>
    <col min="4117" max="4117" width="13.83203125" style="56" customWidth="1"/>
    <col min="4118" max="4118" width="5.83203125" style="56" customWidth="1"/>
    <col min="4119" max="4119" width="15.5" style="56" customWidth="1"/>
    <col min="4120" max="4360" width="11.5" style="56"/>
    <col min="4361" max="4361" width="0.5" style="56" customWidth="1"/>
    <col min="4362" max="4362" width="3.1640625" style="56" customWidth="1"/>
    <col min="4363" max="4363" width="8.83203125" style="56" customWidth="1"/>
    <col min="4364" max="4364" width="14.83203125" style="56" customWidth="1"/>
    <col min="4365" max="4366" width="6.5" style="56" customWidth="1"/>
    <col min="4367" max="4367" width="14.83203125" style="56" customWidth="1"/>
    <col min="4368" max="4369" width="11.5" style="56" customWidth="1"/>
    <col min="4370" max="4370" width="6.1640625" style="56" customWidth="1"/>
    <col min="4371" max="4371" width="22.83203125" style="56" customWidth="1"/>
    <col min="4372" max="4372" width="11.5" style="56" customWidth="1"/>
    <col min="4373" max="4373" width="13.83203125" style="56" customWidth="1"/>
    <col min="4374" max="4374" width="5.83203125" style="56" customWidth="1"/>
    <col min="4375" max="4375" width="15.5" style="56" customWidth="1"/>
    <col min="4376" max="4616" width="11.5" style="56"/>
    <col min="4617" max="4617" width="0.5" style="56" customWidth="1"/>
    <col min="4618" max="4618" width="3.1640625" style="56" customWidth="1"/>
    <col min="4619" max="4619" width="8.83203125" style="56" customWidth="1"/>
    <col min="4620" max="4620" width="14.83203125" style="56" customWidth="1"/>
    <col min="4621" max="4622" width="6.5" style="56" customWidth="1"/>
    <col min="4623" max="4623" width="14.83203125" style="56" customWidth="1"/>
    <col min="4624" max="4625" width="11.5" style="56" customWidth="1"/>
    <col min="4626" max="4626" width="6.1640625" style="56" customWidth="1"/>
    <col min="4627" max="4627" width="22.83203125" style="56" customWidth="1"/>
    <col min="4628" max="4628" width="11.5" style="56" customWidth="1"/>
    <col min="4629" max="4629" width="13.83203125" style="56" customWidth="1"/>
    <col min="4630" max="4630" width="5.83203125" style="56" customWidth="1"/>
    <col min="4631" max="4631" width="15.5" style="56" customWidth="1"/>
    <col min="4632" max="4872" width="11.5" style="56"/>
    <col min="4873" max="4873" width="0.5" style="56" customWidth="1"/>
    <col min="4874" max="4874" width="3.1640625" style="56" customWidth="1"/>
    <col min="4875" max="4875" width="8.83203125" style="56" customWidth="1"/>
    <col min="4876" max="4876" width="14.83203125" style="56" customWidth="1"/>
    <col min="4877" max="4878" width="6.5" style="56" customWidth="1"/>
    <col min="4879" max="4879" width="14.83203125" style="56" customWidth="1"/>
    <col min="4880" max="4881" width="11.5" style="56" customWidth="1"/>
    <col min="4882" max="4882" width="6.1640625" style="56" customWidth="1"/>
    <col min="4883" max="4883" width="22.83203125" style="56" customWidth="1"/>
    <col min="4884" max="4884" width="11.5" style="56" customWidth="1"/>
    <col min="4885" max="4885" width="13.83203125" style="56" customWidth="1"/>
    <col min="4886" max="4886" width="5.83203125" style="56" customWidth="1"/>
    <col min="4887" max="4887" width="15.5" style="56" customWidth="1"/>
    <col min="4888" max="5128" width="11.5" style="56"/>
    <col min="5129" max="5129" width="0.5" style="56" customWidth="1"/>
    <col min="5130" max="5130" width="3.1640625" style="56" customWidth="1"/>
    <col min="5131" max="5131" width="8.83203125" style="56" customWidth="1"/>
    <col min="5132" max="5132" width="14.83203125" style="56" customWidth="1"/>
    <col min="5133" max="5134" width="6.5" style="56" customWidth="1"/>
    <col min="5135" max="5135" width="14.83203125" style="56" customWidth="1"/>
    <col min="5136" max="5137" width="11.5" style="56" customWidth="1"/>
    <col min="5138" max="5138" width="6.1640625" style="56" customWidth="1"/>
    <col min="5139" max="5139" width="22.83203125" style="56" customWidth="1"/>
    <col min="5140" max="5140" width="11.5" style="56" customWidth="1"/>
    <col min="5141" max="5141" width="13.83203125" style="56" customWidth="1"/>
    <col min="5142" max="5142" width="5.83203125" style="56" customWidth="1"/>
    <col min="5143" max="5143" width="15.5" style="56" customWidth="1"/>
    <col min="5144" max="5384" width="11.5" style="56"/>
    <col min="5385" max="5385" width="0.5" style="56" customWidth="1"/>
    <col min="5386" max="5386" width="3.1640625" style="56" customWidth="1"/>
    <col min="5387" max="5387" width="8.83203125" style="56" customWidth="1"/>
    <col min="5388" max="5388" width="14.83203125" style="56" customWidth="1"/>
    <col min="5389" max="5390" width="6.5" style="56" customWidth="1"/>
    <col min="5391" max="5391" width="14.83203125" style="56" customWidth="1"/>
    <col min="5392" max="5393" width="11.5" style="56" customWidth="1"/>
    <col min="5394" max="5394" width="6.1640625" style="56" customWidth="1"/>
    <col min="5395" max="5395" width="22.83203125" style="56" customWidth="1"/>
    <col min="5396" max="5396" width="11.5" style="56" customWidth="1"/>
    <col min="5397" max="5397" width="13.83203125" style="56" customWidth="1"/>
    <col min="5398" max="5398" width="5.83203125" style="56" customWidth="1"/>
    <col min="5399" max="5399" width="15.5" style="56" customWidth="1"/>
    <col min="5400" max="5640" width="11.5" style="56"/>
    <col min="5641" max="5641" width="0.5" style="56" customWidth="1"/>
    <col min="5642" max="5642" width="3.1640625" style="56" customWidth="1"/>
    <col min="5643" max="5643" width="8.83203125" style="56" customWidth="1"/>
    <col min="5644" max="5644" width="14.83203125" style="56" customWidth="1"/>
    <col min="5645" max="5646" width="6.5" style="56" customWidth="1"/>
    <col min="5647" max="5647" width="14.83203125" style="56" customWidth="1"/>
    <col min="5648" max="5649" width="11.5" style="56" customWidth="1"/>
    <col min="5650" max="5650" width="6.1640625" style="56" customWidth="1"/>
    <col min="5651" max="5651" width="22.83203125" style="56" customWidth="1"/>
    <col min="5652" max="5652" width="11.5" style="56" customWidth="1"/>
    <col min="5653" max="5653" width="13.83203125" style="56" customWidth="1"/>
    <col min="5654" max="5654" width="5.83203125" style="56" customWidth="1"/>
    <col min="5655" max="5655" width="15.5" style="56" customWidth="1"/>
    <col min="5656" max="5896" width="11.5" style="56"/>
    <col min="5897" max="5897" width="0.5" style="56" customWidth="1"/>
    <col min="5898" max="5898" width="3.1640625" style="56" customWidth="1"/>
    <col min="5899" max="5899" width="8.83203125" style="56" customWidth="1"/>
    <col min="5900" max="5900" width="14.83203125" style="56" customWidth="1"/>
    <col min="5901" max="5902" width="6.5" style="56" customWidth="1"/>
    <col min="5903" max="5903" width="14.83203125" style="56" customWidth="1"/>
    <col min="5904" max="5905" width="11.5" style="56" customWidth="1"/>
    <col min="5906" max="5906" width="6.1640625" style="56" customWidth="1"/>
    <col min="5907" max="5907" width="22.83203125" style="56" customWidth="1"/>
    <col min="5908" max="5908" width="11.5" style="56" customWidth="1"/>
    <col min="5909" max="5909" width="13.83203125" style="56" customWidth="1"/>
    <col min="5910" max="5910" width="5.83203125" style="56" customWidth="1"/>
    <col min="5911" max="5911" width="15.5" style="56" customWidth="1"/>
    <col min="5912" max="6152" width="11.5" style="56"/>
    <col min="6153" max="6153" width="0.5" style="56" customWidth="1"/>
    <col min="6154" max="6154" width="3.1640625" style="56" customWidth="1"/>
    <col min="6155" max="6155" width="8.83203125" style="56" customWidth="1"/>
    <col min="6156" max="6156" width="14.83203125" style="56" customWidth="1"/>
    <col min="6157" max="6158" width="6.5" style="56" customWidth="1"/>
    <col min="6159" max="6159" width="14.83203125" style="56" customWidth="1"/>
    <col min="6160" max="6161" width="11.5" style="56" customWidth="1"/>
    <col min="6162" max="6162" width="6.1640625" style="56" customWidth="1"/>
    <col min="6163" max="6163" width="22.83203125" style="56" customWidth="1"/>
    <col min="6164" max="6164" width="11.5" style="56" customWidth="1"/>
    <col min="6165" max="6165" width="13.83203125" style="56" customWidth="1"/>
    <col min="6166" max="6166" width="5.83203125" style="56" customWidth="1"/>
    <col min="6167" max="6167" width="15.5" style="56" customWidth="1"/>
    <col min="6168" max="6408" width="11.5" style="56"/>
    <col min="6409" max="6409" width="0.5" style="56" customWidth="1"/>
    <col min="6410" max="6410" width="3.1640625" style="56" customWidth="1"/>
    <col min="6411" max="6411" width="8.83203125" style="56" customWidth="1"/>
    <col min="6412" max="6412" width="14.83203125" style="56" customWidth="1"/>
    <col min="6413" max="6414" width="6.5" style="56" customWidth="1"/>
    <col min="6415" max="6415" width="14.83203125" style="56" customWidth="1"/>
    <col min="6416" max="6417" width="11.5" style="56" customWidth="1"/>
    <col min="6418" max="6418" width="6.1640625" style="56" customWidth="1"/>
    <col min="6419" max="6419" width="22.83203125" style="56" customWidth="1"/>
    <col min="6420" max="6420" width="11.5" style="56" customWidth="1"/>
    <col min="6421" max="6421" width="13.83203125" style="56" customWidth="1"/>
    <col min="6422" max="6422" width="5.83203125" style="56" customWidth="1"/>
    <col min="6423" max="6423" width="15.5" style="56" customWidth="1"/>
    <col min="6424" max="6664" width="11.5" style="56"/>
    <col min="6665" max="6665" width="0.5" style="56" customWidth="1"/>
    <col min="6666" max="6666" width="3.1640625" style="56" customWidth="1"/>
    <col min="6667" max="6667" width="8.83203125" style="56" customWidth="1"/>
    <col min="6668" max="6668" width="14.83203125" style="56" customWidth="1"/>
    <col min="6669" max="6670" width="6.5" style="56" customWidth="1"/>
    <col min="6671" max="6671" width="14.83203125" style="56" customWidth="1"/>
    <col min="6672" max="6673" width="11.5" style="56" customWidth="1"/>
    <col min="6674" max="6674" width="6.1640625" style="56" customWidth="1"/>
    <col min="6675" max="6675" width="22.83203125" style="56" customWidth="1"/>
    <col min="6676" max="6676" width="11.5" style="56" customWidth="1"/>
    <col min="6677" max="6677" width="13.83203125" style="56" customWidth="1"/>
    <col min="6678" max="6678" width="5.83203125" style="56" customWidth="1"/>
    <col min="6679" max="6679" width="15.5" style="56" customWidth="1"/>
    <col min="6680" max="6920" width="11.5" style="56"/>
    <col min="6921" max="6921" width="0.5" style="56" customWidth="1"/>
    <col min="6922" max="6922" width="3.1640625" style="56" customWidth="1"/>
    <col min="6923" max="6923" width="8.83203125" style="56" customWidth="1"/>
    <col min="6924" max="6924" width="14.83203125" style="56" customWidth="1"/>
    <col min="6925" max="6926" width="6.5" style="56" customWidth="1"/>
    <col min="6927" max="6927" width="14.83203125" style="56" customWidth="1"/>
    <col min="6928" max="6929" width="11.5" style="56" customWidth="1"/>
    <col min="6930" max="6930" width="6.1640625" style="56" customWidth="1"/>
    <col min="6931" max="6931" width="22.83203125" style="56" customWidth="1"/>
    <col min="6932" max="6932" width="11.5" style="56" customWidth="1"/>
    <col min="6933" max="6933" width="13.83203125" style="56" customWidth="1"/>
    <col min="6934" max="6934" width="5.83203125" style="56" customWidth="1"/>
    <col min="6935" max="6935" width="15.5" style="56" customWidth="1"/>
    <col min="6936" max="7176" width="11.5" style="56"/>
    <col min="7177" max="7177" width="0.5" style="56" customWidth="1"/>
    <col min="7178" max="7178" width="3.1640625" style="56" customWidth="1"/>
    <col min="7179" max="7179" width="8.83203125" style="56" customWidth="1"/>
    <col min="7180" max="7180" width="14.83203125" style="56" customWidth="1"/>
    <col min="7181" max="7182" width="6.5" style="56" customWidth="1"/>
    <col min="7183" max="7183" width="14.83203125" style="56" customWidth="1"/>
    <col min="7184" max="7185" width="11.5" style="56" customWidth="1"/>
    <col min="7186" max="7186" width="6.1640625" style="56" customWidth="1"/>
    <col min="7187" max="7187" width="22.83203125" style="56" customWidth="1"/>
    <col min="7188" max="7188" width="11.5" style="56" customWidth="1"/>
    <col min="7189" max="7189" width="13.83203125" style="56" customWidth="1"/>
    <col min="7190" max="7190" width="5.83203125" style="56" customWidth="1"/>
    <col min="7191" max="7191" width="15.5" style="56" customWidth="1"/>
    <col min="7192" max="7432" width="11.5" style="56"/>
    <col min="7433" max="7433" width="0.5" style="56" customWidth="1"/>
    <col min="7434" max="7434" width="3.1640625" style="56" customWidth="1"/>
    <col min="7435" max="7435" width="8.83203125" style="56" customWidth="1"/>
    <col min="7436" max="7436" width="14.83203125" style="56" customWidth="1"/>
    <col min="7437" max="7438" width="6.5" style="56" customWidth="1"/>
    <col min="7439" max="7439" width="14.83203125" style="56" customWidth="1"/>
    <col min="7440" max="7441" width="11.5" style="56" customWidth="1"/>
    <col min="7442" max="7442" width="6.1640625" style="56" customWidth="1"/>
    <col min="7443" max="7443" width="22.83203125" style="56" customWidth="1"/>
    <col min="7444" max="7444" width="11.5" style="56" customWidth="1"/>
    <col min="7445" max="7445" width="13.83203125" style="56" customWidth="1"/>
    <col min="7446" max="7446" width="5.83203125" style="56" customWidth="1"/>
    <col min="7447" max="7447" width="15.5" style="56" customWidth="1"/>
    <col min="7448" max="7688" width="11.5" style="56"/>
    <col min="7689" max="7689" width="0.5" style="56" customWidth="1"/>
    <col min="7690" max="7690" width="3.1640625" style="56" customWidth="1"/>
    <col min="7691" max="7691" width="8.83203125" style="56" customWidth="1"/>
    <col min="7692" max="7692" width="14.83203125" style="56" customWidth="1"/>
    <col min="7693" max="7694" width="6.5" style="56" customWidth="1"/>
    <col min="7695" max="7695" width="14.83203125" style="56" customWidth="1"/>
    <col min="7696" max="7697" width="11.5" style="56" customWidth="1"/>
    <col min="7698" max="7698" width="6.1640625" style="56" customWidth="1"/>
    <col min="7699" max="7699" width="22.83203125" style="56" customWidth="1"/>
    <col min="7700" max="7700" width="11.5" style="56" customWidth="1"/>
    <col min="7701" max="7701" width="13.83203125" style="56" customWidth="1"/>
    <col min="7702" max="7702" width="5.83203125" style="56" customWidth="1"/>
    <col min="7703" max="7703" width="15.5" style="56" customWidth="1"/>
    <col min="7704" max="7944" width="11.5" style="56"/>
    <col min="7945" max="7945" width="0.5" style="56" customWidth="1"/>
    <col min="7946" max="7946" width="3.1640625" style="56" customWidth="1"/>
    <col min="7947" max="7947" width="8.83203125" style="56" customWidth="1"/>
    <col min="7948" max="7948" width="14.83203125" style="56" customWidth="1"/>
    <col min="7949" max="7950" width="6.5" style="56" customWidth="1"/>
    <col min="7951" max="7951" width="14.83203125" style="56" customWidth="1"/>
    <col min="7952" max="7953" width="11.5" style="56" customWidth="1"/>
    <col min="7954" max="7954" width="6.1640625" style="56" customWidth="1"/>
    <col min="7955" max="7955" width="22.83203125" style="56" customWidth="1"/>
    <col min="7956" max="7956" width="11.5" style="56" customWidth="1"/>
    <col min="7957" max="7957" width="13.83203125" style="56" customWidth="1"/>
    <col min="7958" max="7958" width="5.83203125" style="56" customWidth="1"/>
    <col min="7959" max="7959" width="15.5" style="56" customWidth="1"/>
    <col min="7960" max="8200" width="11.5" style="56"/>
    <col min="8201" max="8201" width="0.5" style="56" customWidth="1"/>
    <col min="8202" max="8202" width="3.1640625" style="56" customWidth="1"/>
    <col min="8203" max="8203" width="8.83203125" style="56" customWidth="1"/>
    <col min="8204" max="8204" width="14.83203125" style="56" customWidth="1"/>
    <col min="8205" max="8206" width="6.5" style="56" customWidth="1"/>
    <col min="8207" max="8207" width="14.83203125" style="56" customWidth="1"/>
    <col min="8208" max="8209" width="11.5" style="56" customWidth="1"/>
    <col min="8210" max="8210" width="6.1640625" style="56" customWidth="1"/>
    <col min="8211" max="8211" width="22.83203125" style="56" customWidth="1"/>
    <col min="8212" max="8212" width="11.5" style="56" customWidth="1"/>
    <col min="8213" max="8213" width="13.83203125" style="56" customWidth="1"/>
    <col min="8214" max="8214" width="5.83203125" style="56" customWidth="1"/>
    <col min="8215" max="8215" width="15.5" style="56" customWidth="1"/>
    <col min="8216" max="8456" width="11.5" style="56"/>
    <col min="8457" max="8457" width="0.5" style="56" customWidth="1"/>
    <col min="8458" max="8458" width="3.1640625" style="56" customWidth="1"/>
    <col min="8459" max="8459" width="8.83203125" style="56" customWidth="1"/>
    <col min="8460" max="8460" width="14.83203125" style="56" customWidth="1"/>
    <col min="8461" max="8462" width="6.5" style="56" customWidth="1"/>
    <col min="8463" max="8463" width="14.83203125" style="56" customWidth="1"/>
    <col min="8464" max="8465" width="11.5" style="56" customWidth="1"/>
    <col min="8466" max="8466" width="6.1640625" style="56" customWidth="1"/>
    <col min="8467" max="8467" width="22.83203125" style="56" customWidth="1"/>
    <col min="8468" max="8468" width="11.5" style="56" customWidth="1"/>
    <col min="8469" max="8469" width="13.83203125" style="56" customWidth="1"/>
    <col min="8470" max="8470" width="5.83203125" style="56" customWidth="1"/>
    <col min="8471" max="8471" width="15.5" style="56" customWidth="1"/>
    <col min="8472" max="8712" width="11.5" style="56"/>
    <col min="8713" max="8713" width="0.5" style="56" customWidth="1"/>
    <col min="8714" max="8714" width="3.1640625" style="56" customWidth="1"/>
    <col min="8715" max="8715" width="8.83203125" style="56" customWidth="1"/>
    <col min="8716" max="8716" width="14.83203125" style="56" customWidth="1"/>
    <col min="8717" max="8718" width="6.5" style="56" customWidth="1"/>
    <col min="8719" max="8719" width="14.83203125" style="56" customWidth="1"/>
    <col min="8720" max="8721" width="11.5" style="56" customWidth="1"/>
    <col min="8722" max="8722" width="6.1640625" style="56" customWidth="1"/>
    <col min="8723" max="8723" width="22.83203125" style="56" customWidth="1"/>
    <col min="8724" max="8724" width="11.5" style="56" customWidth="1"/>
    <col min="8725" max="8725" width="13.83203125" style="56" customWidth="1"/>
    <col min="8726" max="8726" width="5.83203125" style="56" customWidth="1"/>
    <col min="8727" max="8727" width="15.5" style="56" customWidth="1"/>
    <col min="8728" max="8968" width="11.5" style="56"/>
    <col min="8969" max="8969" width="0.5" style="56" customWidth="1"/>
    <col min="8970" max="8970" width="3.1640625" style="56" customWidth="1"/>
    <col min="8971" max="8971" width="8.83203125" style="56" customWidth="1"/>
    <col min="8972" max="8972" width="14.83203125" style="56" customWidth="1"/>
    <col min="8973" max="8974" width="6.5" style="56" customWidth="1"/>
    <col min="8975" max="8975" width="14.83203125" style="56" customWidth="1"/>
    <col min="8976" max="8977" width="11.5" style="56" customWidth="1"/>
    <col min="8978" max="8978" width="6.1640625" style="56" customWidth="1"/>
    <col min="8979" max="8979" width="22.83203125" style="56" customWidth="1"/>
    <col min="8980" max="8980" width="11.5" style="56" customWidth="1"/>
    <col min="8981" max="8981" width="13.83203125" style="56" customWidth="1"/>
    <col min="8982" max="8982" width="5.83203125" style="56" customWidth="1"/>
    <col min="8983" max="8983" width="15.5" style="56" customWidth="1"/>
    <col min="8984" max="9224" width="11.5" style="56"/>
    <col min="9225" max="9225" width="0.5" style="56" customWidth="1"/>
    <col min="9226" max="9226" width="3.1640625" style="56" customWidth="1"/>
    <col min="9227" max="9227" width="8.83203125" style="56" customWidth="1"/>
    <col min="9228" max="9228" width="14.83203125" style="56" customWidth="1"/>
    <col min="9229" max="9230" width="6.5" style="56" customWidth="1"/>
    <col min="9231" max="9231" width="14.83203125" style="56" customWidth="1"/>
    <col min="9232" max="9233" width="11.5" style="56" customWidth="1"/>
    <col min="9234" max="9234" width="6.1640625" style="56" customWidth="1"/>
    <col min="9235" max="9235" width="22.83203125" style="56" customWidth="1"/>
    <col min="9236" max="9236" width="11.5" style="56" customWidth="1"/>
    <col min="9237" max="9237" width="13.83203125" style="56" customWidth="1"/>
    <col min="9238" max="9238" width="5.83203125" style="56" customWidth="1"/>
    <col min="9239" max="9239" width="15.5" style="56" customWidth="1"/>
    <col min="9240" max="9480" width="11.5" style="56"/>
    <col min="9481" max="9481" width="0.5" style="56" customWidth="1"/>
    <col min="9482" max="9482" width="3.1640625" style="56" customWidth="1"/>
    <col min="9483" max="9483" width="8.83203125" style="56" customWidth="1"/>
    <col min="9484" max="9484" width="14.83203125" style="56" customWidth="1"/>
    <col min="9485" max="9486" width="6.5" style="56" customWidth="1"/>
    <col min="9487" max="9487" width="14.83203125" style="56" customWidth="1"/>
    <col min="9488" max="9489" width="11.5" style="56" customWidth="1"/>
    <col min="9490" max="9490" width="6.1640625" style="56" customWidth="1"/>
    <col min="9491" max="9491" width="22.83203125" style="56" customWidth="1"/>
    <col min="9492" max="9492" width="11.5" style="56" customWidth="1"/>
    <col min="9493" max="9493" width="13.83203125" style="56" customWidth="1"/>
    <col min="9494" max="9494" width="5.83203125" style="56" customWidth="1"/>
    <col min="9495" max="9495" width="15.5" style="56" customWidth="1"/>
    <col min="9496" max="9736" width="11.5" style="56"/>
    <col min="9737" max="9737" width="0.5" style="56" customWidth="1"/>
    <col min="9738" max="9738" width="3.1640625" style="56" customWidth="1"/>
    <col min="9739" max="9739" width="8.83203125" style="56" customWidth="1"/>
    <col min="9740" max="9740" width="14.83203125" style="56" customWidth="1"/>
    <col min="9741" max="9742" width="6.5" style="56" customWidth="1"/>
    <col min="9743" max="9743" width="14.83203125" style="56" customWidth="1"/>
    <col min="9744" max="9745" width="11.5" style="56" customWidth="1"/>
    <col min="9746" max="9746" width="6.1640625" style="56" customWidth="1"/>
    <col min="9747" max="9747" width="22.83203125" style="56" customWidth="1"/>
    <col min="9748" max="9748" width="11.5" style="56" customWidth="1"/>
    <col min="9749" max="9749" width="13.83203125" style="56" customWidth="1"/>
    <col min="9750" max="9750" width="5.83203125" style="56" customWidth="1"/>
    <col min="9751" max="9751" width="15.5" style="56" customWidth="1"/>
    <col min="9752" max="9992" width="11.5" style="56"/>
    <col min="9993" max="9993" width="0.5" style="56" customWidth="1"/>
    <col min="9994" max="9994" width="3.1640625" style="56" customWidth="1"/>
    <col min="9995" max="9995" width="8.83203125" style="56" customWidth="1"/>
    <col min="9996" max="9996" width="14.83203125" style="56" customWidth="1"/>
    <col min="9997" max="9998" width="6.5" style="56" customWidth="1"/>
    <col min="9999" max="9999" width="14.83203125" style="56" customWidth="1"/>
    <col min="10000" max="10001" width="11.5" style="56" customWidth="1"/>
    <col min="10002" max="10002" width="6.1640625" style="56" customWidth="1"/>
    <col min="10003" max="10003" width="22.83203125" style="56" customWidth="1"/>
    <col min="10004" max="10004" width="11.5" style="56" customWidth="1"/>
    <col min="10005" max="10005" width="13.83203125" style="56" customWidth="1"/>
    <col min="10006" max="10006" width="5.83203125" style="56" customWidth="1"/>
    <col min="10007" max="10007" width="15.5" style="56" customWidth="1"/>
    <col min="10008" max="10248" width="11.5" style="56"/>
    <col min="10249" max="10249" width="0.5" style="56" customWidth="1"/>
    <col min="10250" max="10250" width="3.1640625" style="56" customWidth="1"/>
    <col min="10251" max="10251" width="8.83203125" style="56" customWidth="1"/>
    <col min="10252" max="10252" width="14.83203125" style="56" customWidth="1"/>
    <col min="10253" max="10254" width="6.5" style="56" customWidth="1"/>
    <col min="10255" max="10255" width="14.83203125" style="56" customWidth="1"/>
    <col min="10256" max="10257" width="11.5" style="56" customWidth="1"/>
    <col min="10258" max="10258" width="6.1640625" style="56" customWidth="1"/>
    <col min="10259" max="10259" width="22.83203125" style="56" customWidth="1"/>
    <col min="10260" max="10260" width="11.5" style="56" customWidth="1"/>
    <col min="10261" max="10261" width="13.83203125" style="56" customWidth="1"/>
    <col min="10262" max="10262" width="5.83203125" style="56" customWidth="1"/>
    <col min="10263" max="10263" width="15.5" style="56" customWidth="1"/>
    <col min="10264" max="10504" width="11.5" style="56"/>
    <col min="10505" max="10505" width="0.5" style="56" customWidth="1"/>
    <col min="10506" max="10506" width="3.1640625" style="56" customWidth="1"/>
    <col min="10507" max="10507" width="8.83203125" style="56" customWidth="1"/>
    <col min="10508" max="10508" width="14.83203125" style="56" customWidth="1"/>
    <col min="10509" max="10510" width="6.5" style="56" customWidth="1"/>
    <col min="10511" max="10511" width="14.83203125" style="56" customWidth="1"/>
    <col min="10512" max="10513" width="11.5" style="56" customWidth="1"/>
    <col min="10514" max="10514" width="6.1640625" style="56" customWidth="1"/>
    <col min="10515" max="10515" width="22.83203125" style="56" customWidth="1"/>
    <col min="10516" max="10516" width="11.5" style="56" customWidth="1"/>
    <col min="10517" max="10517" width="13.83203125" style="56" customWidth="1"/>
    <col min="10518" max="10518" width="5.83203125" style="56" customWidth="1"/>
    <col min="10519" max="10519" width="15.5" style="56" customWidth="1"/>
    <col min="10520" max="10760" width="11.5" style="56"/>
    <col min="10761" max="10761" width="0.5" style="56" customWidth="1"/>
    <col min="10762" max="10762" width="3.1640625" style="56" customWidth="1"/>
    <col min="10763" max="10763" width="8.83203125" style="56" customWidth="1"/>
    <col min="10764" max="10764" width="14.83203125" style="56" customWidth="1"/>
    <col min="10765" max="10766" width="6.5" style="56" customWidth="1"/>
    <col min="10767" max="10767" width="14.83203125" style="56" customWidth="1"/>
    <col min="10768" max="10769" width="11.5" style="56" customWidth="1"/>
    <col min="10770" max="10770" width="6.1640625" style="56" customWidth="1"/>
    <col min="10771" max="10771" width="22.83203125" style="56" customWidth="1"/>
    <col min="10772" max="10772" width="11.5" style="56" customWidth="1"/>
    <col min="10773" max="10773" width="13.83203125" style="56" customWidth="1"/>
    <col min="10774" max="10774" width="5.83203125" style="56" customWidth="1"/>
    <col min="10775" max="10775" width="15.5" style="56" customWidth="1"/>
    <col min="10776" max="11016" width="11.5" style="56"/>
    <col min="11017" max="11017" width="0.5" style="56" customWidth="1"/>
    <col min="11018" max="11018" width="3.1640625" style="56" customWidth="1"/>
    <col min="11019" max="11019" width="8.83203125" style="56" customWidth="1"/>
    <col min="11020" max="11020" width="14.83203125" style="56" customWidth="1"/>
    <col min="11021" max="11022" width="6.5" style="56" customWidth="1"/>
    <col min="11023" max="11023" width="14.83203125" style="56" customWidth="1"/>
    <col min="11024" max="11025" width="11.5" style="56" customWidth="1"/>
    <col min="11026" max="11026" width="6.1640625" style="56" customWidth="1"/>
    <col min="11027" max="11027" width="22.83203125" style="56" customWidth="1"/>
    <col min="11028" max="11028" width="11.5" style="56" customWidth="1"/>
    <col min="11029" max="11029" width="13.83203125" style="56" customWidth="1"/>
    <col min="11030" max="11030" width="5.83203125" style="56" customWidth="1"/>
    <col min="11031" max="11031" width="15.5" style="56" customWidth="1"/>
    <col min="11032" max="11272" width="11.5" style="56"/>
    <col min="11273" max="11273" width="0.5" style="56" customWidth="1"/>
    <col min="11274" max="11274" width="3.1640625" style="56" customWidth="1"/>
    <col min="11275" max="11275" width="8.83203125" style="56" customWidth="1"/>
    <col min="11276" max="11276" width="14.83203125" style="56" customWidth="1"/>
    <col min="11277" max="11278" width="6.5" style="56" customWidth="1"/>
    <col min="11279" max="11279" width="14.83203125" style="56" customWidth="1"/>
    <col min="11280" max="11281" width="11.5" style="56" customWidth="1"/>
    <col min="11282" max="11282" width="6.1640625" style="56" customWidth="1"/>
    <col min="11283" max="11283" width="22.83203125" style="56" customWidth="1"/>
    <col min="11284" max="11284" width="11.5" style="56" customWidth="1"/>
    <col min="11285" max="11285" width="13.83203125" style="56" customWidth="1"/>
    <col min="11286" max="11286" width="5.83203125" style="56" customWidth="1"/>
    <col min="11287" max="11287" width="15.5" style="56" customWidth="1"/>
    <col min="11288" max="11528" width="11.5" style="56"/>
    <col min="11529" max="11529" width="0.5" style="56" customWidth="1"/>
    <col min="11530" max="11530" width="3.1640625" style="56" customWidth="1"/>
    <col min="11531" max="11531" width="8.83203125" style="56" customWidth="1"/>
    <col min="11532" max="11532" width="14.83203125" style="56" customWidth="1"/>
    <col min="11533" max="11534" width="6.5" style="56" customWidth="1"/>
    <col min="11535" max="11535" width="14.83203125" style="56" customWidth="1"/>
    <col min="11536" max="11537" width="11.5" style="56" customWidth="1"/>
    <col min="11538" max="11538" width="6.1640625" style="56" customWidth="1"/>
    <col min="11539" max="11539" width="22.83203125" style="56" customWidth="1"/>
    <col min="11540" max="11540" width="11.5" style="56" customWidth="1"/>
    <col min="11541" max="11541" width="13.83203125" style="56" customWidth="1"/>
    <col min="11542" max="11542" width="5.83203125" style="56" customWidth="1"/>
    <col min="11543" max="11543" width="15.5" style="56" customWidth="1"/>
    <col min="11544" max="11784" width="11.5" style="56"/>
    <col min="11785" max="11785" width="0.5" style="56" customWidth="1"/>
    <col min="11786" max="11786" width="3.1640625" style="56" customWidth="1"/>
    <col min="11787" max="11787" width="8.83203125" style="56" customWidth="1"/>
    <col min="11788" max="11788" width="14.83203125" style="56" customWidth="1"/>
    <col min="11789" max="11790" width="6.5" style="56" customWidth="1"/>
    <col min="11791" max="11791" width="14.83203125" style="56" customWidth="1"/>
    <col min="11792" max="11793" width="11.5" style="56" customWidth="1"/>
    <col min="11794" max="11794" width="6.1640625" style="56" customWidth="1"/>
    <col min="11795" max="11795" width="22.83203125" style="56" customWidth="1"/>
    <col min="11796" max="11796" width="11.5" style="56" customWidth="1"/>
    <col min="11797" max="11797" width="13.83203125" style="56" customWidth="1"/>
    <col min="11798" max="11798" width="5.83203125" style="56" customWidth="1"/>
    <col min="11799" max="11799" width="15.5" style="56" customWidth="1"/>
    <col min="11800" max="12040" width="11.5" style="56"/>
    <col min="12041" max="12041" width="0.5" style="56" customWidth="1"/>
    <col min="12042" max="12042" width="3.1640625" style="56" customWidth="1"/>
    <col min="12043" max="12043" width="8.83203125" style="56" customWidth="1"/>
    <col min="12044" max="12044" width="14.83203125" style="56" customWidth="1"/>
    <col min="12045" max="12046" width="6.5" style="56" customWidth="1"/>
    <col min="12047" max="12047" width="14.83203125" style="56" customWidth="1"/>
    <col min="12048" max="12049" width="11.5" style="56" customWidth="1"/>
    <col min="12050" max="12050" width="6.1640625" style="56" customWidth="1"/>
    <col min="12051" max="12051" width="22.83203125" style="56" customWidth="1"/>
    <col min="12052" max="12052" width="11.5" style="56" customWidth="1"/>
    <col min="12053" max="12053" width="13.83203125" style="56" customWidth="1"/>
    <col min="12054" max="12054" width="5.83203125" style="56" customWidth="1"/>
    <col min="12055" max="12055" width="15.5" style="56" customWidth="1"/>
    <col min="12056" max="12296" width="11.5" style="56"/>
    <col min="12297" max="12297" width="0.5" style="56" customWidth="1"/>
    <col min="12298" max="12298" width="3.1640625" style="56" customWidth="1"/>
    <col min="12299" max="12299" width="8.83203125" style="56" customWidth="1"/>
    <col min="12300" max="12300" width="14.83203125" style="56" customWidth="1"/>
    <col min="12301" max="12302" width="6.5" style="56" customWidth="1"/>
    <col min="12303" max="12303" width="14.83203125" style="56" customWidth="1"/>
    <col min="12304" max="12305" width="11.5" style="56" customWidth="1"/>
    <col min="12306" max="12306" width="6.1640625" style="56" customWidth="1"/>
    <col min="12307" max="12307" width="22.83203125" style="56" customWidth="1"/>
    <col min="12308" max="12308" width="11.5" style="56" customWidth="1"/>
    <col min="12309" max="12309" width="13.83203125" style="56" customWidth="1"/>
    <col min="12310" max="12310" width="5.83203125" style="56" customWidth="1"/>
    <col min="12311" max="12311" width="15.5" style="56" customWidth="1"/>
    <col min="12312" max="12552" width="11.5" style="56"/>
    <col min="12553" max="12553" width="0.5" style="56" customWidth="1"/>
    <col min="12554" max="12554" width="3.1640625" style="56" customWidth="1"/>
    <col min="12555" max="12555" width="8.83203125" style="56" customWidth="1"/>
    <col min="12556" max="12556" width="14.83203125" style="56" customWidth="1"/>
    <col min="12557" max="12558" width="6.5" style="56" customWidth="1"/>
    <col min="12559" max="12559" width="14.83203125" style="56" customWidth="1"/>
    <col min="12560" max="12561" width="11.5" style="56" customWidth="1"/>
    <col min="12562" max="12562" width="6.1640625" style="56" customWidth="1"/>
    <col min="12563" max="12563" width="22.83203125" style="56" customWidth="1"/>
    <col min="12564" max="12564" width="11.5" style="56" customWidth="1"/>
    <col min="12565" max="12565" width="13.83203125" style="56" customWidth="1"/>
    <col min="12566" max="12566" width="5.83203125" style="56" customWidth="1"/>
    <col min="12567" max="12567" width="15.5" style="56" customWidth="1"/>
    <col min="12568" max="12808" width="11.5" style="56"/>
    <col min="12809" max="12809" width="0.5" style="56" customWidth="1"/>
    <col min="12810" max="12810" width="3.1640625" style="56" customWidth="1"/>
    <col min="12811" max="12811" width="8.83203125" style="56" customWidth="1"/>
    <col min="12812" max="12812" width="14.83203125" style="56" customWidth="1"/>
    <col min="12813" max="12814" width="6.5" style="56" customWidth="1"/>
    <col min="12815" max="12815" width="14.83203125" style="56" customWidth="1"/>
    <col min="12816" max="12817" width="11.5" style="56" customWidth="1"/>
    <col min="12818" max="12818" width="6.1640625" style="56" customWidth="1"/>
    <col min="12819" max="12819" width="22.83203125" style="56" customWidth="1"/>
    <col min="12820" max="12820" width="11.5" style="56" customWidth="1"/>
    <col min="12821" max="12821" width="13.83203125" style="56" customWidth="1"/>
    <col min="12822" max="12822" width="5.83203125" style="56" customWidth="1"/>
    <col min="12823" max="12823" width="15.5" style="56" customWidth="1"/>
    <col min="12824" max="13064" width="11.5" style="56"/>
    <col min="13065" max="13065" width="0.5" style="56" customWidth="1"/>
    <col min="13066" max="13066" width="3.1640625" style="56" customWidth="1"/>
    <col min="13067" max="13067" width="8.83203125" style="56" customWidth="1"/>
    <col min="13068" max="13068" width="14.83203125" style="56" customWidth="1"/>
    <col min="13069" max="13070" width="6.5" style="56" customWidth="1"/>
    <col min="13071" max="13071" width="14.83203125" style="56" customWidth="1"/>
    <col min="13072" max="13073" width="11.5" style="56" customWidth="1"/>
    <col min="13074" max="13074" width="6.1640625" style="56" customWidth="1"/>
    <col min="13075" max="13075" width="22.83203125" style="56" customWidth="1"/>
    <col min="13076" max="13076" width="11.5" style="56" customWidth="1"/>
    <col min="13077" max="13077" width="13.83203125" style="56" customWidth="1"/>
    <col min="13078" max="13078" width="5.83203125" style="56" customWidth="1"/>
    <col min="13079" max="13079" width="15.5" style="56" customWidth="1"/>
    <col min="13080" max="13320" width="11.5" style="56"/>
    <col min="13321" max="13321" width="0.5" style="56" customWidth="1"/>
    <col min="13322" max="13322" width="3.1640625" style="56" customWidth="1"/>
    <col min="13323" max="13323" width="8.83203125" style="56" customWidth="1"/>
    <col min="13324" max="13324" width="14.83203125" style="56" customWidth="1"/>
    <col min="13325" max="13326" width="6.5" style="56" customWidth="1"/>
    <col min="13327" max="13327" width="14.83203125" style="56" customWidth="1"/>
    <col min="13328" max="13329" width="11.5" style="56" customWidth="1"/>
    <col min="13330" max="13330" width="6.1640625" style="56" customWidth="1"/>
    <col min="13331" max="13331" width="22.83203125" style="56" customWidth="1"/>
    <col min="13332" max="13332" width="11.5" style="56" customWidth="1"/>
    <col min="13333" max="13333" width="13.83203125" style="56" customWidth="1"/>
    <col min="13334" max="13334" width="5.83203125" style="56" customWidth="1"/>
    <col min="13335" max="13335" width="15.5" style="56" customWidth="1"/>
    <col min="13336" max="13576" width="11.5" style="56"/>
    <col min="13577" max="13577" width="0.5" style="56" customWidth="1"/>
    <col min="13578" max="13578" width="3.1640625" style="56" customWidth="1"/>
    <col min="13579" max="13579" width="8.83203125" style="56" customWidth="1"/>
    <col min="13580" max="13580" width="14.83203125" style="56" customWidth="1"/>
    <col min="13581" max="13582" width="6.5" style="56" customWidth="1"/>
    <col min="13583" max="13583" width="14.83203125" style="56" customWidth="1"/>
    <col min="13584" max="13585" width="11.5" style="56" customWidth="1"/>
    <col min="13586" max="13586" width="6.1640625" style="56" customWidth="1"/>
    <col min="13587" max="13587" width="22.83203125" style="56" customWidth="1"/>
    <col min="13588" max="13588" width="11.5" style="56" customWidth="1"/>
    <col min="13589" max="13589" width="13.83203125" style="56" customWidth="1"/>
    <col min="13590" max="13590" width="5.83203125" style="56" customWidth="1"/>
    <col min="13591" max="13591" width="15.5" style="56" customWidth="1"/>
    <col min="13592" max="13832" width="11.5" style="56"/>
    <col min="13833" max="13833" width="0.5" style="56" customWidth="1"/>
    <col min="13834" max="13834" width="3.1640625" style="56" customWidth="1"/>
    <col min="13835" max="13835" width="8.83203125" style="56" customWidth="1"/>
    <col min="13836" max="13836" width="14.83203125" style="56" customWidth="1"/>
    <col min="13837" max="13838" width="6.5" style="56" customWidth="1"/>
    <col min="13839" max="13839" width="14.83203125" style="56" customWidth="1"/>
    <col min="13840" max="13841" width="11.5" style="56" customWidth="1"/>
    <col min="13842" max="13842" width="6.1640625" style="56" customWidth="1"/>
    <col min="13843" max="13843" width="22.83203125" style="56" customWidth="1"/>
    <col min="13844" max="13844" width="11.5" style="56" customWidth="1"/>
    <col min="13845" max="13845" width="13.83203125" style="56" customWidth="1"/>
    <col min="13846" max="13846" width="5.83203125" style="56" customWidth="1"/>
    <col min="13847" max="13847" width="15.5" style="56" customWidth="1"/>
    <col min="13848" max="14088" width="11.5" style="56"/>
    <col min="14089" max="14089" width="0.5" style="56" customWidth="1"/>
    <col min="14090" max="14090" width="3.1640625" style="56" customWidth="1"/>
    <col min="14091" max="14091" width="8.83203125" style="56" customWidth="1"/>
    <col min="14092" max="14092" width="14.83203125" style="56" customWidth="1"/>
    <col min="14093" max="14094" width="6.5" style="56" customWidth="1"/>
    <col min="14095" max="14095" width="14.83203125" style="56" customWidth="1"/>
    <col min="14096" max="14097" width="11.5" style="56" customWidth="1"/>
    <col min="14098" max="14098" width="6.1640625" style="56" customWidth="1"/>
    <col min="14099" max="14099" width="22.83203125" style="56" customWidth="1"/>
    <col min="14100" max="14100" width="11.5" style="56" customWidth="1"/>
    <col min="14101" max="14101" width="13.83203125" style="56" customWidth="1"/>
    <col min="14102" max="14102" width="5.83203125" style="56" customWidth="1"/>
    <col min="14103" max="14103" width="15.5" style="56" customWidth="1"/>
    <col min="14104" max="14344" width="11.5" style="56"/>
    <col min="14345" max="14345" width="0.5" style="56" customWidth="1"/>
    <col min="14346" max="14346" width="3.1640625" style="56" customWidth="1"/>
    <col min="14347" max="14347" width="8.83203125" style="56" customWidth="1"/>
    <col min="14348" max="14348" width="14.83203125" style="56" customWidth="1"/>
    <col min="14349" max="14350" width="6.5" style="56" customWidth="1"/>
    <col min="14351" max="14351" width="14.83203125" style="56" customWidth="1"/>
    <col min="14352" max="14353" width="11.5" style="56" customWidth="1"/>
    <col min="14354" max="14354" width="6.1640625" style="56" customWidth="1"/>
    <col min="14355" max="14355" width="22.83203125" style="56" customWidth="1"/>
    <col min="14356" max="14356" width="11.5" style="56" customWidth="1"/>
    <col min="14357" max="14357" width="13.83203125" style="56" customWidth="1"/>
    <col min="14358" max="14358" width="5.83203125" style="56" customWidth="1"/>
    <col min="14359" max="14359" width="15.5" style="56" customWidth="1"/>
    <col min="14360" max="14600" width="11.5" style="56"/>
    <col min="14601" max="14601" width="0.5" style="56" customWidth="1"/>
    <col min="14602" max="14602" width="3.1640625" style="56" customWidth="1"/>
    <col min="14603" max="14603" width="8.83203125" style="56" customWidth="1"/>
    <col min="14604" max="14604" width="14.83203125" style="56" customWidth="1"/>
    <col min="14605" max="14606" width="6.5" style="56" customWidth="1"/>
    <col min="14607" max="14607" width="14.83203125" style="56" customWidth="1"/>
    <col min="14608" max="14609" width="11.5" style="56" customWidth="1"/>
    <col min="14610" max="14610" width="6.1640625" style="56" customWidth="1"/>
    <col min="14611" max="14611" width="22.83203125" style="56" customWidth="1"/>
    <col min="14612" max="14612" width="11.5" style="56" customWidth="1"/>
    <col min="14613" max="14613" width="13.83203125" style="56" customWidth="1"/>
    <col min="14614" max="14614" width="5.83203125" style="56" customWidth="1"/>
    <col min="14615" max="14615" width="15.5" style="56" customWidth="1"/>
    <col min="14616" max="14856" width="11.5" style="56"/>
    <col min="14857" max="14857" width="0.5" style="56" customWidth="1"/>
    <col min="14858" max="14858" width="3.1640625" style="56" customWidth="1"/>
    <col min="14859" max="14859" width="8.83203125" style="56" customWidth="1"/>
    <col min="14860" max="14860" width="14.83203125" style="56" customWidth="1"/>
    <col min="14861" max="14862" width="6.5" style="56" customWidth="1"/>
    <col min="14863" max="14863" width="14.83203125" style="56" customWidth="1"/>
    <col min="14864" max="14865" width="11.5" style="56" customWidth="1"/>
    <col min="14866" max="14866" width="6.1640625" style="56" customWidth="1"/>
    <col min="14867" max="14867" width="22.83203125" style="56" customWidth="1"/>
    <col min="14868" max="14868" width="11.5" style="56" customWidth="1"/>
    <col min="14869" max="14869" width="13.83203125" style="56" customWidth="1"/>
    <col min="14870" max="14870" width="5.83203125" style="56" customWidth="1"/>
    <col min="14871" max="14871" width="15.5" style="56" customWidth="1"/>
    <col min="14872" max="15112" width="11.5" style="56"/>
    <col min="15113" max="15113" width="0.5" style="56" customWidth="1"/>
    <col min="15114" max="15114" width="3.1640625" style="56" customWidth="1"/>
    <col min="15115" max="15115" width="8.83203125" style="56" customWidth="1"/>
    <col min="15116" max="15116" width="14.83203125" style="56" customWidth="1"/>
    <col min="15117" max="15118" width="6.5" style="56" customWidth="1"/>
    <col min="15119" max="15119" width="14.83203125" style="56" customWidth="1"/>
    <col min="15120" max="15121" width="11.5" style="56" customWidth="1"/>
    <col min="15122" max="15122" width="6.1640625" style="56" customWidth="1"/>
    <col min="15123" max="15123" width="22.83203125" style="56" customWidth="1"/>
    <col min="15124" max="15124" width="11.5" style="56" customWidth="1"/>
    <col min="15125" max="15125" width="13.83203125" style="56" customWidth="1"/>
    <col min="15126" max="15126" width="5.83203125" style="56" customWidth="1"/>
    <col min="15127" max="15127" width="15.5" style="56" customWidth="1"/>
    <col min="15128" max="15368" width="11.5" style="56"/>
    <col min="15369" max="15369" width="0.5" style="56" customWidth="1"/>
    <col min="15370" max="15370" width="3.1640625" style="56" customWidth="1"/>
    <col min="15371" max="15371" width="8.83203125" style="56" customWidth="1"/>
    <col min="15372" max="15372" width="14.83203125" style="56" customWidth="1"/>
    <col min="15373" max="15374" width="6.5" style="56" customWidth="1"/>
    <col min="15375" max="15375" width="14.83203125" style="56" customWidth="1"/>
    <col min="15376" max="15377" width="11.5" style="56" customWidth="1"/>
    <col min="15378" max="15378" width="6.1640625" style="56" customWidth="1"/>
    <col min="15379" max="15379" width="22.83203125" style="56" customWidth="1"/>
    <col min="15380" max="15380" width="11.5" style="56" customWidth="1"/>
    <col min="15381" max="15381" width="13.83203125" style="56" customWidth="1"/>
    <col min="15382" max="15382" width="5.83203125" style="56" customWidth="1"/>
    <col min="15383" max="15383" width="15.5" style="56" customWidth="1"/>
    <col min="15384" max="15624" width="11.5" style="56"/>
    <col min="15625" max="15625" width="0.5" style="56" customWidth="1"/>
    <col min="15626" max="15626" width="3.1640625" style="56" customWidth="1"/>
    <col min="15627" max="15627" width="8.83203125" style="56" customWidth="1"/>
    <col min="15628" max="15628" width="14.83203125" style="56" customWidth="1"/>
    <col min="15629" max="15630" width="6.5" style="56" customWidth="1"/>
    <col min="15631" max="15631" width="14.83203125" style="56" customWidth="1"/>
    <col min="15632" max="15633" width="11.5" style="56" customWidth="1"/>
    <col min="15634" max="15634" width="6.1640625" style="56" customWidth="1"/>
    <col min="15635" max="15635" width="22.83203125" style="56" customWidth="1"/>
    <col min="15636" max="15636" width="11.5" style="56" customWidth="1"/>
    <col min="15637" max="15637" width="13.83203125" style="56" customWidth="1"/>
    <col min="15638" max="15638" width="5.83203125" style="56" customWidth="1"/>
    <col min="15639" max="15639" width="15.5" style="56" customWidth="1"/>
    <col min="15640" max="15880" width="11.5" style="56"/>
    <col min="15881" max="15881" width="0.5" style="56" customWidth="1"/>
    <col min="15882" max="15882" width="3.1640625" style="56" customWidth="1"/>
    <col min="15883" max="15883" width="8.83203125" style="56" customWidth="1"/>
    <col min="15884" max="15884" width="14.83203125" style="56" customWidth="1"/>
    <col min="15885" max="15886" width="6.5" style="56" customWidth="1"/>
    <col min="15887" max="15887" width="14.83203125" style="56" customWidth="1"/>
    <col min="15888" max="15889" width="11.5" style="56" customWidth="1"/>
    <col min="15890" max="15890" width="6.1640625" style="56" customWidth="1"/>
    <col min="15891" max="15891" width="22.83203125" style="56" customWidth="1"/>
    <col min="15892" max="15892" width="11.5" style="56" customWidth="1"/>
    <col min="15893" max="15893" width="13.83203125" style="56" customWidth="1"/>
    <col min="15894" max="15894" width="5.83203125" style="56" customWidth="1"/>
    <col min="15895" max="15895" width="15.5" style="56" customWidth="1"/>
    <col min="15896" max="16136" width="11.5" style="56"/>
    <col min="16137" max="16137" width="0.5" style="56" customWidth="1"/>
    <col min="16138" max="16138" width="3.1640625" style="56" customWidth="1"/>
    <col min="16139" max="16139" width="8.83203125" style="56" customWidth="1"/>
    <col min="16140" max="16140" width="14.83203125" style="56" customWidth="1"/>
    <col min="16141" max="16142" width="6.5" style="56" customWidth="1"/>
    <col min="16143" max="16143" width="14.83203125" style="56" customWidth="1"/>
    <col min="16144" max="16145" width="11.5" style="56" customWidth="1"/>
    <col min="16146" max="16146" width="6.1640625" style="56" customWidth="1"/>
    <col min="16147" max="16147" width="22.83203125" style="56" customWidth="1"/>
    <col min="16148" max="16148" width="11.5" style="56" customWidth="1"/>
    <col min="16149" max="16149" width="13.83203125" style="56" customWidth="1"/>
    <col min="16150" max="16150" width="5.83203125" style="56" customWidth="1"/>
    <col min="16151" max="16151" width="15.5" style="56" customWidth="1"/>
    <col min="16152" max="16384" width="11.5" style="56"/>
  </cols>
  <sheetData>
    <row r="1" spans="1:34" ht="8" customHeight="1">
      <c r="Q1" s="90"/>
      <c r="R1" s="91"/>
    </row>
    <row r="2" spans="1:34" ht="5" customHeight="1" thickBot="1">
      <c r="Q2" s="89"/>
      <c r="R2" s="89"/>
    </row>
    <row r="3" spans="1:34" s="57" customFormat="1" ht="17" customHeight="1">
      <c r="A3" s="472"/>
      <c r="B3" s="576" t="s">
        <v>115</v>
      </c>
      <c r="C3" s="577"/>
      <c r="D3" s="577"/>
      <c r="E3" s="577"/>
      <c r="F3" s="577"/>
      <c r="G3" s="577"/>
      <c r="H3" s="577"/>
      <c r="I3" s="577"/>
      <c r="J3" s="578"/>
      <c r="K3" s="95"/>
      <c r="L3" s="58"/>
      <c r="M3" s="58"/>
      <c r="N3" s="92"/>
      <c r="O3" s="93"/>
      <c r="R3" s="90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301"/>
    </row>
    <row r="4" spans="1:34" ht="6" customHeight="1" thickBot="1">
      <c r="B4" s="579"/>
      <c r="C4" s="580"/>
      <c r="D4" s="580"/>
      <c r="E4" s="580"/>
      <c r="F4" s="580"/>
      <c r="G4" s="580"/>
      <c r="H4" s="580"/>
      <c r="I4" s="580"/>
      <c r="J4" s="581"/>
      <c r="K4" s="95"/>
      <c r="L4" s="58"/>
      <c r="M4" s="58"/>
      <c r="N4" s="93"/>
      <c r="O4" s="93"/>
      <c r="P4" s="58"/>
      <c r="Q4" s="59"/>
      <c r="R4" s="59"/>
    </row>
    <row r="5" spans="1:34" ht="15" customHeight="1">
      <c r="B5" s="582" t="s">
        <v>283</v>
      </c>
      <c r="C5" s="583"/>
      <c r="D5" s="583"/>
      <c r="E5" s="583"/>
      <c r="F5" s="583" t="s">
        <v>27</v>
      </c>
      <c r="G5" s="583"/>
      <c r="H5" s="583"/>
      <c r="I5" s="583"/>
      <c r="J5" s="589"/>
      <c r="K5" s="584" t="s">
        <v>142</v>
      </c>
      <c r="L5" s="585"/>
      <c r="M5" s="585"/>
      <c r="N5" s="585" t="s">
        <v>365</v>
      </c>
      <c r="O5" s="585"/>
      <c r="P5" s="588"/>
      <c r="Q5" s="345" t="s">
        <v>143</v>
      </c>
      <c r="R5" s="92"/>
    </row>
    <row r="6" spans="1:34" ht="17" customHeight="1" thickBot="1">
      <c r="B6" s="592" t="str">
        <f>IF(Start!$D$4="","Dr. Max Mustermann",Start!$D$4)</f>
        <v>Dr. Max Mustermann</v>
      </c>
      <c r="C6" s="593"/>
      <c r="D6" s="593"/>
      <c r="E6" s="593"/>
      <c r="F6" s="593" t="str">
        <f>Start!$D$8</f>
        <v>Ärztin/Arzt in Ausbildung_BSO1994</v>
      </c>
      <c r="G6" s="593"/>
      <c r="H6" s="593"/>
      <c r="I6" s="593"/>
      <c r="J6" s="594"/>
      <c r="K6" s="623">
        <f>IF(SUM(N14:O42,L13:L42,AA51:AD51,AA52:AB52)=0,Datenblatt!J101,SUM(N14:O42,L13:L42,AA51:AD51,AA52:AB52,AH51:AH52))</f>
        <v>201.60000000000002</v>
      </c>
      <c r="L6" s="624"/>
      <c r="M6" s="625"/>
      <c r="N6" s="586">
        <f>COUNTIF(D14:E42,"ND")+COUNTIF(D14:E42,"ND12,5")</f>
        <v>0</v>
      </c>
      <c r="O6" s="586"/>
      <c r="P6" s="587"/>
      <c r="Q6" s="346">
        <f>IF(OR(Start!$D$10="",Start!$E$10=""),"",IF(Start!$D$8=Gehalt!$K$32,VLOOKUP($H$8,Gehalt!$A$4:$I$22,3,FALSE),IF(Start!$D$8=Gehalt!$K$33,VLOOKUP($H$8,Gehalt!$A$4:$I$22,4,FALSE),IF(Start!$D$8=Gehalt!$K$34,VLOOKUP($H$8,Gehalt!$A$4:$I$22,5,FALSE),IF(Start!$D$8=Gehalt!$K$35,VLOOKUP($H$8,Gehalt!$A$4:$I$22,6,FALSE),IF(Start!$D$8=Gehalt!$K$36,VLOOKUP($H$8,Gehalt!$A$4:$I$22,7,FALSE),IF(Start!$D$8=Gehalt!$K$37,VLOOKUP($H$8,Gehalt!$A$4:$I$22,6,FALSE),IF(Start!$D$8=Gehalt!$K$38,VLOOKUP($H$8,Gehalt!$A$4:$I$22,8,FALSE),IF(Start!$D$8=Gehalt!$K$39,VLOOKUP($H$8,Gehalt!$A$4:$I$22,8,FALSE),IF(Start!$D$8=Gehalt!$K$40,VLOOKUP($H$8,Gehalt!$A$4:$I$22,9,FALSE),IF(Start!$D$8=Gehalt!$K$41,VLOOKUP($H$8,Gehalt!$A$4:$I$22,9,FALSE))))))))))))</f>
        <v>5365.31</v>
      </c>
      <c r="R6" s="92"/>
      <c r="S6" s="92"/>
    </row>
    <row r="7" spans="1:34" ht="15" customHeight="1">
      <c r="B7" s="582" t="s">
        <v>26</v>
      </c>
      <c r="C7" s="583"/>
      <c r="D7" s="108" t="s">
        <v>25</v>
      </c>
      <c r="E7" s="583" t="s">
        <v>43</v>
      </c>
      <c r="F7" s="583"/>
      <c r="G7" s="583"/>
      <c r="H7" s="583" t="s">
        <v>91</v>
      </c>
      <c r="I7" s="583"/>
      <c r="J7" s="589"/>
      <c r="K7" s="584" t="s">
        <v>80</v>
      </c>
      <c r="L7" s="585"/>
      <c r="M7" s="585"/>
      <c r="N7" s="585" t="s">
        <v>81</v>
      </c>
      <c r="O7" s="585"/>
      <c r="P7" s="588"/>
      <c r="Q7" s="345" t="s">
        <v>144</v>
      </c>
      <c r="R7" s="191"/>
      <c r="S7" s="101"/>
      <c r="U7" s="242"/>
      <c r="AA7" s="242"/>
    </row>
    <row r="8" spans="1:34" s="59" customFormat="1" ht="17" customHeight="1" thickBot="1">
      <c r="A8" s="471"/>
      <c r="B8" s="595">
        <f>DATE($D$8,2,1)</f>
        <v>45323</v>
      </c>
      <c r="C8" s="596"/>
      <c r="D8" s="349">
        <f>Start!$D$2</f>
        <v>2024</v>
      </c>
      <c r="E8" s="601">
        <f>($K$6)/((VLOOKUP($B$8,Datenblatt!$A$100:$G$112,7,FALSE)*0.2)-(0.2*$D$59))</f>
        <v>48</v>
      </c>
      <c r="F8" s="601"/>
      <c r="G8" s="601"/>
      <c r="H8" s="602">
        <f>IF(OR(Start!$D$10="",Start!$E$10=""),"",IF(($C$14&lt;Start!$D$10),Start!$E$10,VLOOKUP(Start!$E$10,Gehalt!$A$4:$B$22,2,FALSE)))</f>
        <v>4</v>
      </c>
      <c r="I8" s="602"/>
      <c r="J8" s="603"/>
      <c r="K8" s="597">
        <f>SUM(M13:M42)</f>
        <v>0</v>
      </c>
      <c r="L8" s="598"/>
      <c r="M8" s="598"/>
      <c r="N8" s="591">
        <f>VLOOKUP($B$8,Datenblatt!A100:F112,6,FALSE)</f>
        <v>168</v>
      </c>
      <c r="O8" s="591"/>
      <c r="P8" s="599"/>
      <c r="Q8" s="346">
        <f ca="1">IF($L$50="","",SUM($L$50:$L$59))</f>
        <v>5365.31</v>
      </c>
      <c r="R8" s="100"/>
      <c r="S8" s="101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302"/>
    </row>
    <row r="9" spans="1:34" s="60" customFormat="1" ht="4.25" customHeight="1">
      <c r="A9" s="473"/>
      <c r="B9" s="559" t="s">
        <v>116</v>
      </c>
      <c r="C9" s="560"/>
      <c r="D9" s="565" t="s">
        <v>124</v>
      </c>
      <c r="E9" s="565" t="s">
        <v>174</v>
      </c>
      <c r="F9" s="568" t="s">
        <v>79</v>
      </c>
      <c r="G9" s="569"/>
      <c r="H9" s="568" t="s">
        <v>109</v>
      </c>
      <c r="I9" s="569"/>
      <c r="J9" s="565" t="s">
        <v>117</v>
      </c>
      <c r="K9" s="556" t="s">
        <v>82</v>
      </c>
      <c r="L9" s="556" t="s">
        <v>130</v>
      </c>
      <c r="M9" s="556" t="s">
        <v>114</v>
      </c>
      <c r="N9" s="556" t="s">
        <v>79</v>
      </c>
      <c r="O9" s="556" t="s">
        <v>109</v>
      </c>
      <c r="P9" s="553" t="s">
        <v>134</v>
      </c>
      <c r="Q9" s="535" t="s">
        <v>125</v>
      </c>
      <c r="R9" s="537" t="s">
        <v>173</v>
      </c>
      <c r="S9" s="573" t="s">
        <v>165</v>
      </c>
      <c r="T9" s="233"/>
      <c r="U9" s="234"/>
      <c r="V9" s="234"/>
      <c r="W9" s="234"/>
      <c r="X9" s="234"/>
      <c r="Y9" s="234"/>
      <c r="Z9" s="233"/>
      <c r="AA9" s="234"/>
      <c r="AB9" s="234"/>
      <c r="AC9" s="234"/>
      <c r="AD9" s="234"/>
      <c r="AE9" s="234"/>
      <c r="AF9" s="234"/>
      <c r="AG9" s="234"/>
      <c r="AH9" s="301"/>
    </row>
    <row r="10" spans="1:34" ht="14.5" customHeight="1">
      <c r="B10" s="561"/>
      <c r="C10" s="562"/>
      <c r="D10" s="566"/>
      <c r="E10" s="566"/>
      <c r="F10" s="570"/>
      <c r="G10" s="571"/>
      <c r="H10" s="570"/>
      <c r="I10" s="571"/>
      <c r="J10" s="566"/>
      <c r="K10" s="557"/>
      <c r="L10" s="557"/>
      <c r="M10" s="557"/>
      <c r="N10" s="557"/>
      <c r="O10" s="557"/>
      <c r="P10" s="554"/>
      <c r="Q10" s="535"/>
      <c r="R10" s="535"/>
      <c r="S10" s="574"/>
      <c r="T10" s="233"/>
      <c r="U10" s="572" t="s">
        <v>108</v>
      </c>
      <c r="V10" s="572"/>
      <c r="W10" s="572"/>
      <c r="X10" s="572"/>
      <c r="Y10" s="572"/>
      <c r="Z10" s="249"/>
      <c r="AA10" s="572" t="s">
        <v>168</v>
      </c>
      <c r="AB10" s="572"/>
      <c r="AC10" s="572"/>
      <c r="AD10" s="572"/>
      <c r="AE10" s="572"/>
      <c r="AF10" s="552" t="s">
        <v>232</v>
      </c>
      <c r="AG10" s="552" t="s">
        <v>233</v>
      </c>
    </row>
    <row r="11" spans="1:34" ht="13" customHeight="1" thickBot="1">
      <c r="B11" s="563"/>
      <c r="C11" s="564"/>
      <c r="D11" s="567"/>
      <c r="E11" s="567"/>
      <c r="F11" s="97" t="s">
        <v>14</v>
      </c>
      <c r="G11" s="98" t="s">
        <v>15</v>
      </c>
      <c r="H11" s="97" t="s">
        <v>14</v>
      </c>
      <c r="I11" s="98" t="s">
        <v>15</v>
      </c>
      <c r="J11" s="567"/>
      <c r="K11" s="558"/>
      <c r="L11" s="558"/>
      <c r="M11" s="558"/>
      <c r="N11" s="558"/>
      <c r="O11" s="558"/>
      <c r="P11" s="555"/>
      <c r="Q11" s="536"/>
      <c r="R11" s="536"/>
      <c r="S11" s="575"/>
      <c r="T11" s="109"/>
      <c r="U11" s="245" t="s">
        <v>105</v>
      </c>
      <c r="V11" s="246" t="s">
        <v>106</v>
      </c>
      <c r="W11" s="247" t="s">
        <v>107</v>
      </c>
      <c r="X11" s="246" t="s">
        <v>176</v>
      </c>
      <c r="Y11" s="246" t="s">
        <v>175</v>
      </c>
      <c r="Z11" s="248"/>
      <c r="AA11" s="245" t="s">
        <v>105</v>
      </c>
      <c r="AB11" s="246" t="s">
        <v>106</v>
      </c>
      <c r="AC11" s="246" t="s">
        <v>176</v>
      </c>
      <c r="AD11" s="246" t="s">
        <v>175</v>
      </c>
      <c r="AE11" s="245" t="s">
        <v>229</v>
      </c>
      <c r="AF11" s="552"/>
      <c r="AG11" s="552"/>
      <c r="AH11" s="246" t="s">
        <v>262</v>
      </c>
    </row>
    <row r="12" spans="1:34" ht="0.25" customHeight="1">
      <c r="B12" s="61"/>
      <c r="C12" s="61"/>
      <c r="D12" s="62"/>
      <c r="E12" s="65"/>
      <c r="F12" s="63"/>
      <c r="G12" s="63"/>
      <c r="H12" s="63"/>
      <c r="I12" s="63"/>
      <c r="J12" s="64"/>
      <c r="K12" s="64"/>
      <c r="L12" s="65"/>
      <c r="M12" s="65"/>
      <c r="N12" s="65"/>
      <c r="O12" s="65"/>
      <c r="P12" s="65"/>
      <c r="S12" s="96"/>
      <c r="T12" s="235"/>
      <c r="U12" s="236"/>
      <c r="V12" s="236"/>
      <c r="Z12" s="236"/>
      <c r="AA12" s="236"/>
      <c r="AB12" s="236"/>
      <c r="AH12" s="303"/>
    </row>
    <row r="13" spans="1:34" ht="13" customHeight="1">
      <c r="A13" s="89" t="str">
        <f>IF(ISERROR(VLOOKUP(C13,Datenblatt!$B$84:$B$97,1,FALSE)),"","Ft")</f>
        <v/>
      </c>
      <c r="B13" s="397">
        <f t="shared" ref="B13:B42" si="0">C13</f>
        <v>45322</v>
      </c>
      <c r="C13" s="149">
        <f>C14-1</f>
        <v>45322</v>
      </c>
      <c r="D13" s="153" t="str">
        <f>IF(Jänner!D$44="","",Jänner!D$44)</f>
        <v/>
      </c>
      <c r="E13" s="150" t="str">
        <f>IF(Jänner!E$44="","",Jänner!E$44)</f>
        <v/>
      </c>
      <c r="F13" s="150"/>
      <c r="G13" s="150"/>
      <c r="H13" s="150"/>
      <c r="I13" s="150"/>
      <c r="J13" s="252"/>
      <c r="K13" s="252"/>
      <c r="L13" s="170" t="str">
        <f>IF(D13="ND",9,IF(D13="ND12,5",8.5,""))</f>
        <v/>
      </c>
      <c r="M13" s="170" t="str">
        <f>IF(D13="ND",9,IF(D13="ND12,5",8.5,""))</f>
        <v/>
      </c>
      <c r="N13" s="600" t="str">
        <f>IF(OR(D13="ND",D13="ND12,5"),"Übertrag Vormonat","")</f>
        <v/>
      </c>
      <c r="O13" s="600"/>
      <c r="P13" s="193"/>
      <c r="Q13" s="174"/>
      <c r="R13" s="151"/>
      <c r="S13" s="152"/>
      <c r="T13" s="205"/>
      <c r="U13" s="206"/>
      <c r="V13" s="207"/>
      <c r="W13" s="207"/>
      <c r="X13" s="253"/>
      <c r="Y13" s="253"/>
      <c r="Z13" s="111" t="str">
        <f t="shared" ref="Z13" si="1">IF(E13="ND",25,IF(E13="ND12,5",12.5,""))</f>
        <v/>
      </c>
      <c r="AA13" s="206"/>
      <c r="AB13" s="208"/>
      <c r="AC13" s="208"/>
      <c r="AD13" s="208"/>
      <c r="AE13" s="208"/>
      <c r="AF13" s="112"/>
      <c r="AG13" s="112"/>
      <c r="AH13" s="304"/>
    </row>
    <row r="14" spans="1:34" ht="13" customHeight="1">
      <c r="A14" s="89" t="str">
        <f>IF(ISERROR(VLOOKUP(C14,Datenblatt!$B$84:$B$97,1,FALSE)),"","Ft")</f>
        <v/>
      </c>
      <c r="B14" s="84">
        <f t="shared" si="0"/>
        <v>45323</v>
      </c>
      <c r="C14" s="85">
        <f>DATE($D$8,MONTH(B$8),1)</f>
        <v>45323</v>
      </c>
      <c r="D14" s="67"/>
      <c r="E14" s="67"/>
      <c r="F14" s="68"/>
      <c r="G14" s="69"/>
      <c r="H14" s="68"/>
      <c r="I14" s="68"/>
      <c r="J14" s="99"/>
      <c r="K14" s="21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20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10" t="str">
        <f>IF(D14="","",IF(E13="ND",VLOOKUP(D14,Datenblatt!$A$2:$C$31,3,FALSE)-1,IF(E13="ND12,5",VLOOKUP(D14,Datenblatt!$A$2:$C$31,3,FALSE)-0.5,VLOOKUP(D14,Datenblatt!$A$2:$C$31,3,FALSE))))</f>
        <v/>
      </c>
      <c r="N14" s="211" t="str">
        <f t="shared" ref="N14:N18" si="2">IF(AND(F14="",G14=""),"",IF(OR(F14&gt;G14,AND(F14="",G14&gt;0),F14=G14),"ungültig",IF(OR(WEEKDAY(B14,2)=7,A14="Ft"),0,(G14-F14)*24)))</f>
        <v/>
      </c>
      <c r="O14" s="211" t="str">
        <f t="shared" ref="O14:O18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86">
        <f>IF(D14="",IF($P$46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$46="Freizeit",(-M14-J14+IF(ISNUMBER(N14),(N14*1.5),0)+IF(ISNUMBER(O14),(O14*2),0)+IF(OR(E14="ND",E14="ND12,5"),2,0)),(-M14-J14)),IF($P$46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103" t="str">
        <f>IF(D14="","",VLOOKUP(D14,Datenblatt!$A$2:$D$31,4,FALSE))</f>
        <v/>
      </c>
      <c r="R14" s="104" t="str">
        <f>IF(E14="","",VLOOKUP(E14,Datenblatt!$E$2:$G$28,2,FALSE))</f>
        <v/>
      </c>
      <c r="S14" s="105"/>
      <c r="T14" s="111">
        <f>IF(K14="",0,K14)</f>
        <v>0</v>
      </c>
      <c r="U14" s="110"/>
      <c r="V14" s="112"/>
      <c r="W14" s="113"/>
      <c r="X14" s="254"/>
      <c r="Y14" s="254"/>
      <c r="Z14" s="111" t="str">
        <f>IF(E14="ND",25,IF(E14="ND12,5",12.5,""))</f>
        <v/>
      </c>
      <c r="AA14" s="214">
        <f>IF(E13="ND",IF(ISERROR(MATCH(D14,Datenblatt!$L$2:$L$18,0)),3,2),IF(E13="ND12,5",IF(ISERROR(MATCH(D14,Datenblatt!$L$2:$L$18,0)),2.5,2),0))</f>
        <v>0</v>
      </c>
      <c r="AB14" s="214">
        <f>IF((IF(E14="ND",14-IF(D14="",0,VLOOKUP(D14,Datenblatt!$L$2:$M$30,2,FALSE)),IF(E14="ND12,5",2,0)))&lt;0,0,(IF(E14="ND",14-IF(D14="",0,VLOOKUP(D14,Datenblatt!$L$2:$M$30,2,FALSE)),IF(E14="ND12,5",2,0))))</f>
        <v>0</v>
      </c>
      <c r="AC14" s="214">
        <f>IF(OR(E14="ND",E14="ND12,5"),2,0)</f>
        <v>0</v>
      </c>
      <c r="AD14" s="214">
        <f>IF(OR(E13="ND",E13="ND12,5"),6,0)</f>
        <v>0</v>
      </c>
      <c r="AE14" s="214">
        <f>IF(AND(E13="ND",AA14&gt;=2),1,IF(AND(E13="ND12,5",AA14&gt;=2),0.5,0))</f>
        <v>0</v>
      </c>
      <c r="AF14" s="112">
        <f>IF(OR(D14="ND",D14="ND12,5"),2-X14,0)</f>
        <v>0</v>
      </c>
      <c r="AG14" s="112">
        <f>IF(OR(D13="ND",D13="ND12,5"),6-Y14,0)</f>
        <v>0</v>
      </c>
      <c r="AH14" s="112">
        <f>IF(E14="",0,VLOOKUP(E14,Datenblatt!$E$2:$G$28,3,FALSE))</f>
        <v>0</v>
      </c>
    </row>
    <row r="15" spans="1:34" ht="13" customHeight="1">
      <c r="A15" s="89" t="str">
        <f>IF(ISERROR(VLOOKUP(C15,Datenblatt!$B$84:$B$97,1,FALSE)),"","Ft")</f>
        <v/>
      </c>
      <c r="B15" s="84">
        <f t="shared" si="0"/>
        <v>45324</v>
      </c>
      <c r="C15" s="86">
        <f t="shared" ref="C15:C42" si="4">C14+1</f>
        <v>45324</v>
      </c>
      <c r="D15" s="67"/>
      <c r="E15" s="67"/>
      <c r="F15" s="68"/>
      <c r="G15" s="69"/>
      <c r="H15" s="68"/>
      <c r="I15" s="68"/>
      <c r="J15" s="99"/>
      <c r="K15" s="21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20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10" t="str">
        <f>IF(D15="","",IF(E14="ND",VLOOKUP(D15,Datenblatt!$A$2:$C$31,3,FALSE)-1,IF(E14="ND12,5",VLOOKUP(D15,Datenblatt!$A$2:$C$31,3,FALSE)-0.5,VLOOKUP(D15,Datenblatt!$A$2:$C$31,3,FALSE))))</f>
        <v/>
      </c>
      <c r="N15" s="211" t="str">
        <f t="shared" si="2"/>
        <v/>
      </c>
      <c r="O15" s="211" t="str">
        <f t="shared" si="3"/>
        <v/>
      </c>
      <c r="P15" s="186">
        <f>IF(D15="",IF($P$46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$46="Freizeit",(-M15-J15+IF(ISNUMBER(N15),(N15*1.5),0)+IF(ISNUMBER(O15),(O15*2),0)+IF(OR(E15="ND",E15="ND12,5"),2,0)),(-M15-J15)),IF($P$46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103" t="str">
        <f>IF(D15="","",VLOOKUP(D15,Datenblatt!$A$2:$D$31,4,FALSE))</f>
        <v/>
      </c>
      <c r="R15" s="104" t="str">
        <f>IF(E15="","",VLOOKUP(E15,Datenblatt!$E$2:$G$28,2,FALSE))</f>
        <v/>
      </c>
      <c r="S15" s="105"/>
      <c r="T15" s="111">
        <f t="shared" ref="T15:T42" si="5">IF(K15="",0,K15)</f>
        <v>0</v>
      </c>
      <c r="U15" s="114">
        <f t="array" ref="U15">IF(T14=0,0,IF(AND((ROW(T14)=MATCH(TRUE,($T$1:$T$42)&gt;0,0)),(D14="ND")),IF(T14&lt;3,T14,3),IF(AND(ROW(T14)=MATCH(TRUE,($T$1:$T$42)&gt;0,0),D14="ND12,5"),IF(T14&lt;2.5,T14,2.5),IF(D14="ND12,5",2.5,(T14-V14-W14)))))</f>
        <v>0</v>
      </c>
      <c r="V15" s="112">
        <f t="array" ref="V15">IF(T15=0,0,IF(AND((ROW(T15)=MATCH(TRUE,($T$1:$T$42)&gt;0,0)),(D15="ND")),IF(AND(T15&gt;11,T15&lt;=25),T15-11,0),IF(AND(ROW(T15)=MATCH(TRUE,($T$1:$T$42)&gt;0,0),D15="ND12,5"),IF(AND(T15&gt;10.5,T15&lt;=12.5),T15-10.5,0),IF(D15="ND12,5",2,IF(T15&lt;14,T15,14)))))</f>
        <v>0</v>
      </c>
      <c r="W15" s="112">
        <f t="array" ref="W15">IF(T15=0,0,IF(AND((ROW(T15)=MATCH(TRUE,($T$1:$T$42)&gt;0,0)),(D15="ND")),IF(AND(T15&gt;3,T15&lt;11),T15-3,IF(T15&gt;=11,8,0)),IF(AND((ROW(T15)=MATCH(TRUE,($T$1:$T$42)&gt;0,0)),(D15="ND12,5")),IF(AND(T15&gt;2.5,T15&lt;10.5),T15-2.5,IF(T15&gt;=10.5,8,0)),IF(D15="ND12,5",8,IF(AND(T15&gt;14,T15&lt;22),(T15-V15),IF(T15&gt;=22,8,0))))))</f>
        <v>0</v>
      </c>
      <c r="X15" s="254">
        <f t="array" ref="X15">IF(T15=0,0,IF((AND((ROW(T15)=MATCH(TRUE,($T$1:$T$42)&gt;0,0)))),IF(W15&gt;=6,W15-6,0),IF(W15&gt;=2,2,W15)))</f>
        <v>0</v>
      </c>
      <c r="Y15" s="254">
        <f t="array" ref="Y15">IF(T14=0,0,(IF((AND((ROW(T14)=MATCH(TRUE,($T$1:$T$42)&gt;0,0)))),IF(W14&gt;=6,6,W14),IF(W14&gt;=2,W14-2,0))))</f>
        <v>0</v>
      </c>
      <c r="Z15" s="111" t="str">
        <f t="shared" ref="Z15:Z42" si="6">IF(E15="ND",25,IF(E15="ND12,5",12.5,""))</f>
        <v/>
      </c>
      <c r="AA15" s="214">
        <f>IF(E14="ND",IF(ISERROR(MATCH(D15,Datenblatt!$L$2:$L$18,0)),3,2),IF(E14="ND12,5",IF(ISERROR(MATCH(D15,Datenblatt!$L$2:$L$18,0)),2.5,2),0))</f>
        <v>0</v>
      </c>
      <c r="AB15" s="214">
        <f>IF((IF(E15="ND",14-IF(D15="",0,VLOOKUP(D15,Datenblatt!$L$2:$M$30,2,FALSE)),IF(E15="ND12,5",2,0)))&lt;0,0,(IF(E15="ND",14-IF(D15="",0,VLOOKUP(D15,Datenblatt!$L$2:$M$30,2,FALSE)),IF(E15="ND12,5",2,0))))</f>
        <v>0</v>
      </c>
      <c r="AC15" s="214">
        <f t="shared" ref="AC15:AC19" si="7">IF(OR(E15="ND",E15="ND12,5"),2,0)</f>
        <v>0</v>
      </c>
      <c r="AD15" s="214">
        <f t="shared" ref="AD15:AD19" si="8">IF(OR(E14="ND",E14="ND12,5"),6,0)</f>
        <v>0</v>
      </c>
      <c r="AE15" s="214">
        <f t="shared" ref="AE15:AE19" si="9">IF(AND(E14="ND",AA15&gt;=2),1,IF(AND(E14="ND12,5",AA15&gt;=2),0.5,0))</f>
        <v>0</v>
      </c>
      <c r="AF15" s="112">
        <f t="shared" ref="AF15:AF19" si="10">IF(OR(D15="ND",D15="ND12,5"),2-X15,0)</f>
        <v>0</v>
      </c>
      <c r="AG15" s="112">
        <f t="shared" ref="AG15:AG19" si="11">IF(OR(D14="ND",D14="ND12,5"),6-Y15,0)</f>
        <v>0</v>
      </c>
      <c r="AH15" s="112">
        <f>IF(E15="",0,VLOOKUP(E15,Datenblatt!$E$2:$G$28,3,FALSE))</f>
        <v>0</v>
      </c>
    </row>
    <row r="16" spans="1:34" ht="13" customHeight="1">
      <c r="A16" s="89" t="str">
        <f>IF(ISERROR(VLOOKUP(C16,Datenblatt!$B$84:$B$97,1,FALSE)),"","Ft")</f>
        <v/>
      </c>
      <c r="B16" s="84">
        <f t="shared" si="0"/>
        <v>45325</v>
      </c>
      <c r="C16" s="86">
        <f t="shared" si="4"/>
        <v>45325</v>
      </c>
      <c r="D16" s="67"/>
      <c r="E16" s="67"/>
      <c r="F16" s="68"/>
      <c r="G16" s="69"/>
      <c r="H16" s="68"/>
      <c r="I16" s="68"/>
      <c r="J16" s="99"/>
      <c r="K16" s="21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20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10" t="str">
        <f>IF(D16="","",IF(E15="ND",VLOOKUP(D16,Datenblatt!$A$2:$C$31,3,FALSE)-1,IF(E15="ND12,5",VLOOKUP(D16,Datenblatt!$A$2:$C$31,3,FALSE)-0.5,VLOOKUP(D16,Datenblatt!$A$2:$C$31,3,FALSE))))</f>
        <v/>
      </c>
      <c r="N16" s="211" t="str">
        <f t="shared" si="2"/>
        <v/>
      </c>
      <c r="O16" s="211" t="str">
        <f t="shared" si="3"/>
        <v/>
      </c>
      <c r="P16" s="186">
        <f>IF(D16="",IF($P$46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$46="Freizeit",(-M16-J16+IF(ISNUMBER(N16),(N16*1.5),0)+IF(ISNUMBER(O16),(O16*2),0)+IF(OR(E16="ND",E16="ND12,5"),2,0)),(-M16-J16)),IF($P$46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103" t="str">
        <f>IF(D16="","",VLOOKUP(D16,Datenblatt!$A$2:$D$31,4,FALSE))</f>
        <v/>
      </c>
      <c r="R16" s="104" t="str">
        <f>IF(E16="","",VLOOKUP(E16,Datenblatt!$E$2:$G$28,2,FALSE))</f>
        <v/>
      </c>
      <c r="S16" s="105"/>
      <c r="T16" s="111">
        <f t="shared" si="5"/>
        <v>0</v>
      </c>
      <c r="U16" s="114">
        <f t="array" ref="U16">IF(T15=0,0,IF(AND((ROW(T15)=MATCH(TRUE,($T$1:$T$42)&gt;0,0)),(D15="ND")),IF(T15&lt;3,T15,3),IF(AND(ROW(T15)=MATCH(TRUE,($T$1:$T$42)&gt;0,0),D15="ND12,5"),IF(T15&lt;2.5,T15,2.5),IF(D15="ND12,5",2.5,(T15-V15-W15)))))</f>
        <v>0</v>
      </c>
      <c r="V16" s="112">
        <f t="array" ref="V16">IF(T16=0,0,IF(AND((ROW(T16)=MATCH(TRUE,($T$1:$T$42)&gt;0,0)),(D16="ND")),IF(AND(T16&gt;11,T16&lt;=25),T16-11,0),IF(AND(ROW(T16)=MATCH(TRUE,($T$1:$T$42)&gt;0,0),D16="ND12,5"),IF(AND(T16&gt;10.5,T16&lt;=12.5),T16-10.5,0),IF(D16="ND12,5",2,IF(T16&lt;14,T16,14)))))</f>
        <v>0</v>
      </c>
      <c r="W16" s="112">
        <f t="array" ref="W16">IF(T16=0,0,IF(AND((ROW(T16)=MATCH(TRUE,($T$1:$T$42)&gt;0,0)),(D16="ND")),IF(AND(T16&gt;3,T16&lt;11),T16-3,IF(T16&gt;=11,8,0)),IF(AND((ROW(T16)=MATCH(TRUE,($T$1:$T$42)&gt;0,0)),(D16="ND12,5")),IF(AND(T16&gt;2.5,T16&lt;10.5),T16-2.5,IF(T16&gt;=10.5,8,0)),IF(D16="ND12,5",8,IF(AND(T16&gt;14,T16&lt;22),(T16-V16),IF(T16&gt;=22,8,0))))))</f>
        <v>0</v>
      </c>
      <c r="X16" s="254">
        <f t="array" ref="X16">IF(T16=0,0,IF((AND((ROW(T16)=MATCH(TRUE,($T$1:$T$42)&gt;0,0)))),IF(W16&gt;=6,W16-6,0),IF(W16&gt;=2,2,W16)))</f>
        <v>0</v>
      </c>
      <c r="Y16" s="254">
        <f t="array" ref="Y16">IF(T15=0,0,(IF((AND((ROW(T15)=MATCH(TRUE,($T$1:$T$42)&gt;0,0)))),IF(W15&gt;=6,6,W15),IF(W15&gt;=2,W15-2,0))))</f>
        <v>0</v>
      </c>
      <c r="Z16" s="111" t="str">
        <f t="shared" si="6"/>
        <v/>
      </c>
      <c r="AA16" s="214">
        <f>IF(E15="ND",IF(ISERROR(MATCH(D16,Datenblatt!$L$2:$L$18,0)),3,2),IF(E15="ND12,5",IF(ISERROR(MATCH(D16,Datenblatt!$L$2:$L$18,0)),2.5,2),0))</f>
        <v>0</v>
      </c>
      <c r="AB16" s="214">
        <f>IF((IF(E16="ND",14-IF(D16="",0,VLOOKUP(D16,Datenblatt!$L$2:$M$30,2,FALSE)),IF(E16="ND12,5",2,0)))&lt;0,0,(IF(E16="ND",14-IF(D16="",0,VLOOKUP(D16,Datenblatt!$L$2:$M$30,2,FALSE)),IF(E16="ND12,5",2,0))))</f>
        <v>0</v>
      </c>
      <c r="AC16" s="214">
        <f t="shared" si="7"/>
        <v>0</v>
      </c>
      <c r="AD16" s="214">
        <f t="shared" si="8"/>
        <v>0</v>
      </c>
      <c r="AE16" s="214">
        <f t="shared" si="9"/>
        <v>0</v>
      </c>
      <c r="AF16" s="112">
        <f t="shared" si="10"/>
        <v>0</v>
      </c>
      <c r="AG16" s="112">
        <f t="shared" si="11"/>
        <v>0</v>
      </c>
      <c r="AH16" s="112">
        <f>IF(E16="",0,VLOOKUP(E16,Datenblatt!$E$2:$G$28,3,FALSE))</f>
        <v>0</v>
      </c>
    </row>
    <row r="17" spans="1:34" ht="13" customHeight="1">
      <c r="A17" s="89" t="str">
        <f>IF(ISERROR(VLOOKUP(C17,Datenblatt!$B$84:$B$97,1,FALSE)),"","Ft")</f>
        <v/>
      </c>
      <c r="B17" s="84">
        <f t="shared" si="0"/>
        <v>45326</v>
      </c>
      <c r="C17" s="86">
        <f t="shared" si="4"/>
        <v>45326</v>
      </c>
      <c r="D17" s="67"/>
      <c r="E17" s="67"/>
      <c r="F17" s="68"/>
      <c r="G17" s="69"/>
      <c r="H17" s="68"/>
      <c r="I17" s="68"/>
      <c r="J17" s="99"/>
      <c r="K17" s="21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20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10" t="str">
        <f>IF(D17="","",IF(E16="ND",VLOOKUP(D17,Datenblatt!$A$2:$C$31,3,FALSE)-1,IF(E16="ND12,5",VLOOKUP(D17,Datenblatt!$A$2:$C$31,3,FALSE)-0.5,VLOOKUP(D17,Datenblatt!$A$2:$C$31,3,FALSE))))</f>
        <v/>
      </c>
      <c r="N17" s="211" t="str">
        <f t="shared" si="2"/>
        <v/>
      </c>
      <c r="O17" s="211">
        <f t="shared" si="3"/>
        <v>0</v>
      </c>
      <c r="P17" s="186">
        <f>IF(D17="",IF($P$46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$46="Freizeit",(-M17-J17+IF(ISNUMBER(N17),(N17*1.5),0)+IF(ISNUMBER(O17),(O17*2),0)+IF(OR(E17="ND",E17="ND12,5"),2,0)),(-M17-J17)),IF($P$46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103" t="str">
        <f>IF(D17="","",VLOOKUP(D17,Datenblatt!$A$2:$D$31,4,FALSE))</f>
        <v/>
      </c>
      <c r="R17" s="104" t="str">
        <f>IF(E17="","",VLOOKUP(E17,Datenblatt!$E$2:$G$28,2,FALSE))</f>
        <v/>
      </c>
      <c r="S17" s="105"/>
      <c r="T17" s="111">
        <f t="shared" si="5"/>
        <v>0</v>
      </c>
      <c r="U17" s="114">
        <f t="array" ref="U17">IF(T16=0,0,IF(AND((ROW(T16)=MATCH(TRUE,($T$1:$T$42)&gt;0,0)),(D16="ND")),IF(T16&lt;3,T16,3),IF(AND(ROW(T16)=MATCH(TRUE,($T$1:$T$42)&gt;0,0),D16="ND12,5"),IF(T16&lt;2.5,T16,2.5),IF(D16="ND12,5",2.5,(T16-V16-W16)))))</f>
        <v>0</v>
      </c>
      <c r="V17" s="112">
        <f t="array" ref="V17">IF(T17=0,0,IF(AND((ROW(T17)=MATCH(TRUE,($T$1:$T$42)&gt;0,0)),(D17="ND")),IF(AND(T17&gt;11,T17&lt;=25),T17-11,0),IF(AND(ROW(T17)=MATCH(TRUE,($T$1:$T$42)&gt;0,0),D17="ND12,5"),IF(AND(T17&gt;10.5,T17&lt;=12.5),T17-10.5,0),IF(D17="ND12,5",2,IF(T17&lt;14,T17,14)))))</f>
        <v>0</v>
      </c>
      <c r="W17" s="112">
        <f t="array" ref="W17">IF(T17=0,0,IF(AND((ROW(T17)=MATCH(TRUE,($T$1:$T$42)&gt;0,0)),(D17="ND")),IF(AND(T17&gt;3,T17&lt;11),T17-3,IF(T17&gt;=11,8,0)),IF(AND((ROW(T17)=MATCH(TRUE,($T$1:$T$42)&gt;0,0)),(D17="ND12,5")),IF(AND(T17&gt;2.5,T17&lt;10.5),T17-2.5,IF(T17&gt;=10.5,8,0)),IF(D17="ND12,5",8,IF(AND(T17&gt;14,T17&lt;22),(T17-V17),IF(T17&gt;=22,8,0))))))</f>
        <v>0</v>
      </c>
      <c r="X17" s="254">
        <f t="array" ref="X17">IF(T17=0,0,IF((AND((ROW(T17)=MATCH(TRUE,($T$1:$T$42)&gt;0,0)))),IF(W17&gt;=6,W17-6,0),IF(W17&gt;=2,2,W17)))</f>
        <v>0</v>
      </c>
      <c r="Y17" s="254">
        <f t="array" ref="Y17">IF(T16=0,0,(IF((AND((ROW(T16)=MATCH(TRUE,($T$1:$T$42)&gt;0,0)))),IF(W16&gt;=6,6,W16),IF(W16&gt;=2,W16-2,0))))</f>
        <v>0</v>
      </c>
      <c r="Z17" s="111" t="str">
        <f t="shared" si="6"/>
        <v/>
      </c>
      <c r="AA17" s="214">
        <f>IF(E16="ND",IF(ISERROR(MATCH(D17,Datenblatt!$L$2:$L$18,0)),3,2),IF(E16="ND12,5",IF(ISERROR(MATCH(D17,Datenblatt!$L$2:$L$18,0)),2.5,2),0))</f>
        <v>0</v>
      </c>
      <c r="AB17" s="214">
        <f>IF((IF(E17="ND",14-IF(D17="",0,VLOOKUP(D17,Datenblatt!$L$2:$M$30,2,FALSE)),IF(E17="ND12,5",2,0)))&lt;0,0,(IF(E17="ND",14-IF(D17="",0,VLOOKUP(D17,Datenblatt!$L$2:$M$30,2,FALSE)),IF(E17="ND12,5",2,0))))</f>
        <v>0</v>
      </c>
      <c r="AC17" s="214">
        <f t="shared" si="7"/>
        <v>0</v>
      </c>
      <c r="AD17" s="214">
        <f t="shared" si="8"/>
        <v>0</v>
      </c>
      <c r="AE17" s="214">
        <f t="shared" si="9"/>
        <v>0</v>
      </c>
      <c r="AF17" s="112">
        <f t="shared" si="10"/>
        <v>0</v>
      </c>
      <c r="AG17" s="112">
        <f t="shared" si="11"/>
        <v>0</v>
      </c>
      <c r="AH17" s="112">
        <f>IF(E17="",0,VLOOKUP(E17,Datenblatt!$E$2:$G$28,3,FALSE))</f>
        <v>0</v>
      </c>
    </row>
    <row r="18" spans="1:34" ht="13" customHeight="1">
      <c r="A18" s="89" t="str">
        <f>IF(ISERROR(VLOOKUP(C18,Datenblatt!$B$84:$B$97,1,FALSE)),"","Ft")</f>
        <v/>
      </c>
      <c r="B18" s="84">
        <f t="shared" si="0"/>
        <v>45327</v>
      </c>
      <c r="C18" s="86">
        <f t="shared" si="4"/>
        <v>45327</v>
      </c>
      <c r="D18" s="67"/>
      <c r="E18" s="67"/>
      <c r="F18" s="68"/>
      <c r="G18" s="69"/>
      <c r="H18" s="68"/>
      <c r="I18" s="68"/>
      <c r="J18" s="99"/>
      <c r="K18" s="21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20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10" t="str">
        <f>IF(D18="","",IF(E17="ND",VLOOKUP(D18,Datenblatt!$A$2:$C$31,3,FALSE)-1,IF(E17="ND12,5",VLOOKUP(D18,Datenblatt!$A$2:$C$31,3,FALSE)-0.5,VLOOKUP(D18,Datenblatt!$A$2:$C$31,3,FALSE))))</f>
        <v/>
      </c>
      <c r="N18" s="211" t="str">
        <f t="shared" si="2"/>
        <v/>
      </c>
      <c r="O18" s="211" t="str">
        <f t="shared" si="3"/>
        <v/>
      </c>
      <c r="P18" s="186">
        <f>IF(D18="",IF($P$46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$46="Freizeit",(-M18-J18+IF(ISNUMBER(N18),(N18*1.5),0)+IF(ISNUMBER(O18),(O18*2),0)+IF(OR(E18="ND",E18="ND12,5"),2,0)),(-M18-J18)),IF($P$46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103" t="str">
        <f>IF(D18="","",VLOOKUP(D18,Datenblatt!$A$2:$D$31,4,FALSE))</f>
        <v/>
      </c>
      <c r="R18" s="104" t="str">
        <f>IF(E18="","",VLOOKUP(E18,Datenblatt!$E$2:$G$28,2,FALSE))</f>
        <v/>
      </c>
      <c r="S18" s="105"/>
      <c r="T18" s="111">
        <f t="shared" si="5"/>
        <v>0</v>
      </c>
      <c r="U18" s="114">
        <f t="array" ref="U18">IF(T17=0,0,IF(AND((ROW(T17)=MATCH(TRUE,($T$1:$T$42)&gt;0,0)),(D17="ND")),IF(T17&lt;3,T17,3),IF(AND(ROW(T17)=MATCH(TRUE,($T$1:$T$42)&gt;0,0),D17="ND12,5"),IF(T17&lt;2.5,T17,2.5),IF(D17="ND12,5",2.5,(T17-V17-W17)))))</f>
        <v>0</v>
      </c>
      <c r="V18" s="112">
        <f t="array" ref="V18">IF(T18=0,0,IF(AND((ROW(T18)=MATCH(TRUE,($T$1:$T$42)&gt;0,0)),(D18="ND")),IF(AND(T18&gt;11,T18&lt;=25),T18-11,0),IF(AND(ROW(T18)=MATCH(TRUE,($T$1:$T$42)&gt;0,0),D18="ND12,5"),IF(AND(T18&gt;10.5,T18&lt;=12.5),T18-10.5,0),IF(D18="ND12,5",2,IF(T18&lt;14,T18,14)))))</f>
        <v>0</v>
      </c>
      <c r="W18" s="112">
        <f t="array" ref="W18">IF(T18=0,0,IF(AND((ROW(T18)=MATCH(TRUE,($T$1:$T$42)&gt;0,0)),(D18="ND")),IF(AND(T18&gt;3,T18&lt;11),T18-3,IF(T18&gt;=11,8,0)),IF(AND((ROW(T18)=MATCH(TRUE,($T$1:$T$42)&gt;0,0)),(D18="ND12,5")),IF(AND(T18&gt;2.5,T18&lt;10.5),T18-2.5,IF(T18&gt;=10.5,8,0)),IF(D18="ND12,5",8,IF(AND(T18&gt;14,T18&lt;22),(T18-V18),IF(T18&gt;=22,8,0))))))</f>
        <v>0</v>
      </c>
      <c r="X18" s="254">
        <f t="array" ref="X18">IF(T18=0,0,IF((AND((ROW(T18)=MATCH(TRUE,($T$1:$T$42)&gt;0,0)))),IF(W18&gt;=6,W18-6,0),IF(W18&gt;=2,2,W18)))</f>
        <v>0</v>
      </c>
      <c r="Y18" s="254">
        <f t="array" ref="Y18">IF(T17=0,0,(IF((AND((ROW(T17)=MATCH(TRUE,($T$1:$T$42)&gt;0,0)))),IF(W17&gt;=6,6,W17),IF(W17&gt;=2,W17-2,0))))</f>
        <v>0</v>
      </c>
      <c r="Z18" s="111" t="str">
        <f t="shared" si="6"/>
        <v/>
      </c>
      <c r="AA18" s="214">
        <f>IF(E17="ND",IF(ISERROR(MATCH(D18,Datenblatt!$L$2:$L$18,0)),3,2),IF(E17="ND12,5",IF(ISERROR(MATCH(D18,Datenblatt!$L$2:$L$18,0)),2.5,2),0))</f>
        <v>0</v>
      </c>
      <c r="AB18" s="214">
        <f>IF((IF(E18="ND",14-IF(D18="",0,VLOOKUP(D18,Datenblatt!$L$2:$M$30,2,FALSE)),IF(E18="ND12,5",2,0)))&lt;0,0,(IF(E18="ND",14-IF(D18="",0,VLOOKUP(D18,Datenblatt!$L$2:$M$30,2,FALSE)),IF(E18="ND12,5",2,0))))</f>
        <v>0</v>
      </c>
      <c r="AC18" s="214">
        <f t="shared" si="7"/>
        <v>0</v>
      </c>
      <c r="AD18" s="214">
        <f t="shared" si="8"/>
        <v>0</v>
      </c>
      <c r="AE18" s="214">
        <f t="shared" si="9"/>
        <v>0</v>
      </c>
      <c r="AF18" s="112">
        <f t="shared" si="10"/>
        <v>0</v>
      </c>
      <c r="AG18" s="112">
        <f t="shared" si="11"/>
        <v>0</v>
      </c>
      <c r="AH18" s="112">
        <f>IF(E18="",0,VLOOKUP(E18,Datenblatt!$E$2:$G$28,3,FALSE))</f>
        <v>0</v>
      </c>
    </row>
    <row r="19" spans="1:34" ht="13" customHeight="1">
      <c r="A19" s="89" t="str">
        <f>IF(ISERROR(VLOOKUP(C19,Datenblatt!$B$84:$B$97,1,FALSE)),"","Ft")</f>
        <v/>
      </c>
      <c r="B19" s="84">
        <f t="shared" si="0"/>
        <v>45328</v>
      </c>
      <c r="C19" s="86">
        <f t="shared" si="4"/>
        <v>45328</v>
      </c>
      <c r="D19" s="67"/>
      <c r="E19" s="67"/>
      <c r="F19" s="68"/>
      <c r="G19" s="69"/>
      <c r="H19" s="68"/>
      <c r="I19" s="68"/>
      <c r="J19" s="99"/>
      <c r="K19" s="21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20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10" t="str">
        <f>IF(D19="","",IF(E18="ND",VLOOKUP(D19,Datenblatt!$A$2:$C$31,3,FALSE)-1,IF(E18="ND12,5",VLOOKUP(D19,Datenblatt!$A$2:$C$31,3,FALSE)-0.5,VLOOKUP(D19,Datenblatt!$A$2:$C$31,3,FALSE))))</f>
        <v/>
      </c>
      <c r="N19" s="211" t="str">
        <f t="shared" ref="N19:N42" si="12">IF(AND(F19="",G19=""),"",IF(OR(F19&gt;G19,AND(F19="",G19&gt;0),F19=G19),"ungültig",IF(OR(WEEKDAY(B19,2)=7,A19="Ft"),0,(G19-F19)*24)))</f>
        <v/>
      </c>
      <c r="O19" s="211" t="str">
        <f t="shared" ref="O19:O42" si="13">IF(AND(H19="",I19=""),IF(OR(WEEKDAY(B19,2)=7,A19="Ft"),(G19-F19)*24,""),IF(OR(AND(I19="",H19&gt;0),AND(H19="",I19&gt;0),H19=I19),"ungültig",(IF(I19&gt;H19,((I19-H19)*24+IF(OR(WEEKDAY(B19,2)=7,A19="Ft"),(G19-F19)*24,0)),((1+I19-H19)*24+IF(OR(WEEKDAY(B19,2)=7,A19="Ft"),(G19-F19)*24,0))))))</f>
        <v/>
      </c>
      <c r="P19" s="186">
        <f>IF(D19="",IF($P$46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$46="Freizeit",(-M19-J19+IF(ISNUMBER(N19),(N19*1.5),0)+IF(ISNUMBER(O19),(O19*2),0)+IF(OR(E19="ND",E19="ND12,5"),2,0)),(-M19-J19)),IF($P$46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103" t="str">
        <f>IF(D19="","",VLOOKUP(D19,Datenblatt!$A$2:$D$31,4,FALSE))</f>
        <v/>
      </c>
      <c r="R19" s="104" t="str">
        <f>IF(E19="","",VLOOKUP(E19,Datenblatt!$E$2:$G$28,2,FALSE))</f>
        <v/>
      </c>
      <c r="S19" s="105"/>
      <c r="T19" s="111">
        <f t="shared" si="5"/>
        <v>0</v>
      </c>
      <c r="U19" s="114">
        <f t="array" ref="U19">IF(T18=0,0,IF(AND((ROW(T18)=MATCH(TRUE,($T$1:$T$42)&gt;0,0)),(D18="ND")),IF(T18&lt;3,T18,3),IF(AND(ROW(T18)=MATCH(TRUE,($T$1:$T$42)&gt;0,0),D18="ND12,5"),IF(T18&lt;2.5,T18,2.5),IF(D18="ND12,5",2.5,(T18-V18-W18)))))</f>
        <v>0</v>
      </c>
      <c r="V19" s="112">
        <f t="array" ref="V19">IF(T19=0,0,IF(AND((ROW(T19)=MATCH(TRUE,($T$1:$T$42)&gt;0,0)),(D19="ND")),IF(AND(T19&gt;11,T19&lt;=25),T19-11,0),IF(AND(ROW(T19)=MATCH(TRUE,($T$1:$T$42)&gt;0,0),D19="ND12,5"),IF(AND(T19&gt;10.5,T19&lt;=12.5),T19-10.5,0),IF(D19="ND12,5",2,IF(T19&lt;14,T19,14)))))</f>
        <v>0</v>
      </c>
      <c r="W19" s="112">
        <f t="array" ref="W19">IF(T19=0,0,IF(AND((ROW(T19)=MATCH(TRUE,($T$1:$T$42)&gt;0,0)),(D19="ND")),IF(AND(T19&gt;3,T19&lt;11),T19-3,IF(T19&gt;=11,8,0)),IF(AND((ROW(T19)=MATCH(TRUE,($T$1:$T$42)&gt;0,0)),(D19="ND12,5")),IF(AND(T19&gt;2.5,T19&lt;10.5),T19-2.5,IF(T19&gt;=10.5,8,0)),IF(D19="ND12,5",8,IF(AND(T19&gt;14,T19&lt;22),(T19-V19),IF(T19&gt;=22,8,0))))))</f>
        <v>0</v>
      </c>
      <c r="X19" s="254">
        <f t="array" ref="X19">IF(T19=0,0,IF((AND((ROW(T19)=MATCH(TRUE,($T$1:$T$42)&gt;0,0)))),IF(W19&gt;=6,W19-6,0),IF(W19&gt;=2,2,W19)))</f>
        <v>0</v>
      </c>
      <c r="Y19" s="254">
        <f t="array" ref="Y19">IF(T18=0,0,(IF((AND((ROW(T18)=MATCH(TRUE,($T$1:$T$42)&gt;0,0)))),IF(W18&gt;=6,6,W18),IF(W18&gt;=2,W18-2,0))))</f>
        <v>0</v>
      </c>
      <c r="Z19" s="111" t="str">
        <f t="shared" si="6"/>
        <v/>
      </c>
      <c r="AA19" s="214">
        <f>IF(E18="ND",IF(ISERROR(MATCH(D19,Datenblatt!$L$2:$L$18,0)),3,2),IF(E18="ND12,5",IF(ISERROR(MATCH(D19,Datenblatt!$L$2:$L$18,0)),2.5,2),0))</f>
        <v>0</v>
      </c>
      <c r="AB19" s="214">
        <f>IF((IF(E19="ND",14-IF(D19="",0,VLOOKUP(D19,Datenblatt!$L$2:$M$30,2,FALSE)),IF(E19="ND12,5",2,0)))&lt;0,0,(IF(E19="ND",14-IF(D19="",0,VLOOKUP(D19,Datenblatt!$L$2:$M$30,2,FALSE)),IF(E19="ND12,5",2,0))))</f>
        <v>0</v>
      </c>
      <c r="AC19" s="214">
        <f t="shared" si="7"/>
        <v>0</v>
      </c>
      <c r="AD19" s="214">
        <f t="shared" si="8"/>
        <v>0</v>
      </c>
      <c r="AE19" s="214">
        <f t="shared" si="9"/>
        <v>0</v>
      </c>
      <c r="AF19" s="112">
        <f t="shared" si="10"/>
        <v>0</v>
      </c>
      <c r="AG19" s="112">
        <f t="shared" si="11"/>
        <v>0</v>
      </c>
      <c r="AH19" s="112">
        <f>IF(E19="",0,VLOOKUP(E19,Datenblatt!$E$2:$G$28,3,FALSE))</f>
        <v>0</v>
      </c>
    </row>
    <row r="20" spans="1:34" ht="13" customHeight="1">
      <c r="A20" s="89" t="str">
        <f>IF(ISERROR(VLOOKUP(C20,Datenblatt!$B$84:$B$97,1,FALSE)),"","Ft")</f>
        <v/>
      </c>
      <c r="B20" s="84">
        <f t="shared" si="0"/>
        <v>45329</v>
      </c>
      <c r="C20" s="86">
        <f t="shared" si="4"/>
        <v>45329</v>
      </c>
      <c r="D20" s="67"/>
      <c r="E20" s="67"/>
      <c r="F20" s="68"/>
      <c r="G20" s="69"/>
      <c r="H20" s="68"/>
      <c r="I20" s="68"/>
      <c r="J20" s="99"/>
      <c r="K20" s="21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20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10" t="str">
        <f>IF(D20="","",IF(E19="ND",VLOOKUP(D20,Datenblatt!$A$2:$C$31,3,FALSE)-1,IF(E19="ND12,5",VLOOKUP(D20,Datenblatt!$A$2:$C$31,3,FALSE)-0.5,VLOOKUP(D20,Datenblatt!$A$2:$C$31,3,FALSE))))</f>
        <v/>
      </c>
      <c r="N20" s="211" t="str">
        <f t="shared" si="12"/>
        <v/>
      </c>
      <c r="O20" s="211" t="str">
        <f t="shared" si="13"/>
        <v/>
      </c>
      <c r="P20" s="186">
        <f>IF(D20="",IF($P$46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$46="Freizeit",(-M20-J20+IF(ISNUMBER(N20),(N20*1.5),0)+IF(ISNUMBER(O20),(O20*2),0)+IF(OR(E20="ND",E20="ND12,5"),2,0)),(-M20-J20)),IF($P$46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103" t="str">
        <f>IF(D20="","",VLOOKUP(D20,Datenblatt!$A$2:$D$31,4,FALSE))</f>
        <v/>
      </c>
      <c r="R20" s="104" t="str">
        <f>IF(E20="","",VLOOKUP(E20,Datenblatt!$E$2:$G$28,2,FALSE))</f>
        <v/>
      </c>
      <c r="S20" s="105"/>
      <c r="T20" s="111">
        <f t="shared" si="5"/>
        <v>0</v>
      </c>
      <c r="U20" s="114">
        <f t="array" ref="U20">IF(T19=0,0,IF(AND((ROW(T19)=MATCH(TRUE,($T$1:$T$42)&gt;0,0)),(D19="ND")),IF(T19&lt;3,T19,3),IF(AND(ROW(T19)=MATCH(TRUE,($T$1:$T$42)&gt;0,0),D19="ND12,5"),IF(T19&lt;2.5,T19,2.5),IF(D19="ND12,5",2.5,(T19-V19-W19)))))</f>
        <v>0</v>
      </c>
      <c r="V20" s="112">
        <f t="array" ref="V20">IF(T20=0,0,IF(AND((ROW(T20)=MATCH(TRUE,($T$1:$T$42)&gt;0,0)),(D20="ND")),IF(AND(T20&gt;11,T20&lt;=25),T20-11,0),IF(AND(ROW(T20)=MATCH(TRUE,($T$1:$T$42)&gt;0,0),D20="ND12,5"),IF(AND(T20&gt;10.5,T20&lt;=12.5),T20-10.5,0),IF(D20="ND12,5",2,IF(T20&lt;14,T20,14)))))</f>
        <v>0</v>
      </c>
      <c r="W20" s="112">
        <f t="array" ref="W20">IF(T20=0,0,IF(AND((ROW(T20)=MATCH(TRUE,($T$1:$T$42)&gt;0,0)),(D20="ND")),IF(AND(T20&gt;3,T20&lt;11),T20-3,IF(T20&gt;=11,8,0)),IF(AND((ROW(T20)=MATCH(TRUE,($T$1:$T$42)&gt;0,0)),(D20="ND12,5")),IF(AND(T20&gt;2.5,T20&lt;10.5),T20-2.5,IF(T20&gt;=10.5,8,0)),IF(D20="ND12,5",8,IF(AND(T20&gt;14,T20&lt;22),(T20-V20),IF(T20&gt;=22,8,0))))))</f>
        <v>0</v>
      </c>
      <c r="X20" s="254">
        <f t="array" ref="X20">IF(T20=0,0,IF((AND((ROW(T20)=MATCH(TRUE,($T$1:$T$42)&gt;0,0)))),IF(W20&gt;=6,W20-6,0),IF(W20&gt;=2,2,W20)))</f>
        <v>0</v>
      </c>
      <c r="Y20" s="254">
        <f t="array" ref="Y20">IF(T19=0,0,(IF((AND((ROW(T19)=MATCH(TRUE,($T$1:$T$42)&gt;0,0)))),IF(W19&gt;=6,6,W19),IF(W19&gt;=2,W19-2,0))))</f>
        <v>0</v>
      </c>
      <c r="Z20" s="111" t="str">
        <f t="shared" si="6"/>
        <v/>
      </c>
      <c r="AA20" s="214">
        <f>IF(E19="ND",IF(ISERROR(MATCH(D20,Datenblatt!$L$2:$L$18,0)),3,2),IF(E19="ND12,5",IF(ISERROR(MATCH(D20,Datenblatt!$L$2:$L$18,0)),2.5,2),0))</f>
        <v>0</v>
      </c>
      <c r="AB20" s="214">
        <f>IF((IF(E20="ND",14-IF(D20="",0,VLOOKUP(D20,Datenblatt!$L$2:$M$30,2,FALSE)),IF(E20="ND12,5",2,0)))&lt;0,0,(IF(E20="ND",14-IF(D20="",0,VLOOKUP(D20,Datenblatt!$L$2:$M$30,2,FALSE)),IF(E20="ND12,5",2,0))))</f>
        <v>0</v>
      </c>
      <c r="AC20" s="214">
        <f t="shared" ref="AC20:AC42" si="14">IF(OR(E20="ND",E20="ND12,5"),2,0)</f>
        <v>0</v>
      </c>
      <c r="AD20" s="214">
        <f t="shared" ref="AD20:AD42" si="15">IF(OR(E19="ND",E19="ND12,5"),6,0)</f>
        <v>0</v>
      </c>
      <c r="AE20" s="214">
        <f t="shared" ref="AE20:AE42" si="16">IF(AND(E19="ND",AA20&gt;=2),1,IF(AND(E19="ND12,5",AA20&gt;=2),0.5,0))</f>
        <v>0</v>
      </c>
      <c r="AF20" s="112">
        <f t="shared" ref="AF20:AF42" si="17">IF(OR(D20="ND",D20="ND12,5"),2-X20,0)</f>
        <v>0</v>
      </c>
      <c r="AG20" s="112">
        <f t="shared" ref="AG20:AG42" si="18">IF(OR(D19="ND",D19="ND12,5"),6-Y20,0)</f>
        <v>0</v>
      </c>
      <c r="AH20" s="112">
        <f>IF(E20="",0,VLOOKUP(E20,Datenblatt!$E$2:$G$28,3,FALSE))</f>
        <v>0</v>
      </c>
    </row>
    <row r="21" spans="1:34" ht="13" customHeight="1">
      <c r="A21" s="89" t="str">
        <f>IF(ISERROR(VLOOKUP(C21,Datenblatt!$B$84:$B$97,1,FALSE)),"","Ft")</f>
        <v/>
      </c>
      <c r="B21" s="84">
        <f t="shared" si="0"/>
        <v>45330</v>
      </c>
      <c r="C21" s="86">
        <f t="shared" si="4"/>
        <v>45330</v>
      </c>
      <c r="D21" s="67"/>
      <c r="E21" s="67"/>
      <c r="F21" s="68"/>
      <c r="G21" s="69"/>
      <c r="H21" s="68"/>
      <c r="I21" s="68"/>
      <c r="J21" s="99"/>
      <c r="K21" s="21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20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10" t="str">
        <f>IF(D21="","",IF(E20="ND",VLOOKUP(D21,Datenblatt!$A$2:$C$31,3,FALSE)-1,IF(E20="ND12,5",VLOOKUP(D21,Datenblatt!$A$2:$C$31,3,FALSE)-0.5,VLOOKUP(D21,Datenblatt!$A$2:$C$31,3,FALSE))))</f>
        <v/>
      </c>
      <c r="N21" s="211" t="str">
        <f t="shared" si="12"/>
        <v/>
      </c>
      <c r="O21" s="211" t="str">
        <f t="shared" si="13"/>
        <v/>
      </c>
      <c r="P21" s="186">
        <f>IF(D21="",IF($P$46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$46="Freizeit",(-M21-J21+IF(ISNUMBER(N21),(N21*1.5),0)+IF(ISNUMBER(O21),(O21*2),0)+IF(OR(E21="ND",E21="ND12,5"),2,0)),(-M21-J21)),IF($P$46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103" t="str">
        <f>IF(D21="","",VLOOKUP(D21,Datenblatt!$A$2:$D$31,4,FALSE))</f>
        <v/>
      </c>
      <c r="R21" s="104" t="str">
        <f>IF(E21="","",VLOOKUP(E21,Datenblatt!$E$2:$G$28,2,FALSE))</f>
        <v/>
      </c>
      <c r="S21" s="105"/>
      <c r="T21" s="111">
        <f t="shared" si="5"/>
        <v>0</v>
      </c>
      <c r="U21" s="114">
        <f t="array" ref="U21">IF(T20=0,0,IF(AND((ROW(T20)=MATCH(TRUE,($T$1:$T$42)&gt;0,0)),(D20="ND")),IF(T20&lt;3,T20,3),IF(AND(ROW(T20)=MATCH(TRUE,($T$1:$T$42)&gt;0,0),D20="ND12,5"),IF(T20&lt;2.5,T20,2.5),IF(D20="ND12,5",2.5,(T20-V20-W20)))))</f>
        <v>0</v>
      </c>
      <c r="V21" s="112">
        <f t="array" ref="V21">IF(T21=0,0,IF(AND((ROW(T21)=MATCH(TRUE,($T$1:$T$42)&gt;0,0)),(D21="ND")),IF(AND(T21&gt;11,T21&lt;=25),T21-11,0),IF(AND(ROW(T21)=MATCH(TRUE,($T$1:$T$42)&gt;0,0),D21="ND12,5"),IF(AND(T21&gt;10.5,T21&lt;=12.5),T21-10.5,0),IF(D21="ND12,5",2,IF(T21&lt;14,T21,14)))))</f>
        <v>0</v>
      </c>
      <c r="W21" s="112">
        <f t="array" ref="W21">IF(T21=0,0,IF(AND((ROW(T21)=MATCH(TRUE,($T$1:$T$42)&gt;0,0)),(D21="ND")),IF(AND(T21&gt;3,T21&lt;11),T21-3,IF(T21&gt;=11,8,0)),IF(AND((ROW(T21)=MATCH(TRUE,($T$1:$T$42)&gt;0,0)),(D21="ND12,5")),IF(AND(T21&gt;2.5,T21&lt;10.5),T21-2.5,IF(T21&gt;=10.5,8,0)),IF(D21="ND12,5",8,IF(AND(T21&gt;14,T21&lt;22),(T21-V21),IF(T21&gt;=22,8,0))))))</f>
        <v>0</v>
      </c>
      <c r="X21" s="254">
        <f t="array" ref="X21">IF(T21=0,0,IF((AND((ROW(T21)=MATCH(TRUE,($T$1:$T$42)&gt;0,0)))),IF(W21&gt;=6,W21-6,0),IF(W21&gt;=2,2,W21)))</f>
        <v>0</v>
      </c>
      <c r="Y21" s="254">
        <f t="array" ref="Y21">IF(T20=0,0,(IF((AND((ROW(T20)=MATCH(TRUE,($T$1:$T$42)&gt;0,0)))),IF(W20&gt;=6,6,W20),IF(W20&gt;=2,W20-2,0))))</f>
        <v>0</v>
      </c>
      <c r="Z21" s="111" t="str">
        <f t="shared" si="6"/>
        <v/>
      </c>
      <c r="AA21" s="214">
        <f>IF(E20="ND",IF(ISERROR(MATCH(D21,Datenblatt!$L$2:$L$18,0)),3,2),IF(E20="ND12,5",IF(ISERROR(MATCH(D21,Datenblatt!$L$2:$L$18,0)),2.5,2),0))</f>
        <v>0</v>
      </c>
      <c r="AB21" s="214">
        <f>IF((IF(E21="ND",14-IF(D21="",0,VLOOKUP(D21,Datenblatt!$L$2:$M$30,2,FALSE)),IF(E21="ND12,5",2,0)))&lt;0,0,(IF(E21="ND",14-IF(D21="",0,VLOOKUP(D21,Datenblatt!$L$2:$M$30,2,FALSE)),IF(E21="ND12,5",2,0))))</f>
        <v>0</v>
      </c>
      <c r="AC21" s="214">
        <f t="shared" si="14"/>
        <v>0</v>
      </c>
      <c r="AD21" s="214">
        <f t="shared" si="15"/>
        <v>0</v>
      </c>
      <c r="AE21" s="214">
        <f t="shared" si="16"/>
        <v>0</v>
      </c>
      <c r="AF21" s="112">
        <f t="shared" si="17"/>
        <v>0</v>
      </c>
      <c r="AG21" s="112">
        <f t="shared" si="18"/>
        <v>0</v>
      </c>
      <c r="AH21" s="112">
        <f>IF(E21="",0,VLOOKUP(E21,Datenblatt!$E$2:$G$28,3,FALSE))</f>
        <v>0</v>
      </c>
    </row>
    <row r="22" spans="1:34" ht="13" customHeight="1">
      <c r="A22" s="89" t="str">
        <f>IF(ISERROR(VLOOKUP(C22,Datenblatt!$B$84:$B$97,1,FALSE)),"","Ft")</f>
        <v/>
      </c>
      <c r="B22" s="84">
        <f t="shared" si="0"/>
        <v>45331</v>
      </c>
      <c r="C22" s="86">
        <f t="shared" si="4"/>
        <v>45331</v>
      </c>
      <c r="D22" s="67"/>
      <c r="E22" s="67"/>
      <c r="F22" s="68"/>
      <c r="G22" s="69"/>
      <c r="H22" s="68"/>
      <c r="I22" s="68"/>
      <c r="J22" s="99"/>
      <c r="K22" s="21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20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10" t="str">
        <f>IF(D22="","",IF(E21="ND",VLOOKUP(D22,Datenblatt!$A$2:$C$31,3,FALSE)-1,IF(E21="ND12,5",VLOOKUP(D22,Datenblatt!$A$2:$C$31,3,FALSE)-0.5,VLOOKUP(D22,Datenblatt!$A$2:$C$31,3,FALSE))))</f>
        <v/>
      </c>
      <c r="N22" s="211" t="str">
        <f t="shared" si="12"/>
        <v/>
      </c>
      <c r="O22" s="211" t="str">
        <f t="shared" si="13"/>
        <v/>
      </c>
      <c r="P22" s="186">
        <f>IF(D22="",IF($P$46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$46="Freizeit",(-M22-J22+IF(ISNUMBER(N22),(N22*1.5),0)+IF(ISNUMBER(O22),(O22*2),0)+IF(OR(E22="ND",E22="ND12,5"),2,0)),(-M22-J22)),IF($P$46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103" t="str">
        <f>IF(D22="","",VLOOKUP(D22,Datenblatt!$A$2:$D$31,4,FALSE))</f>
        <v/>
      </c>
      <c r="R22" s="104" t="str">
        <f>IF(E22="","",VLOOKUP(E22,Datenblatt!$E$2:$G$28,2,FALSE))</f>
        <v/>
      </c>
      <c r="S22" s="105"/>
      <c r="T22" s="111">
        <f t="shared" si="5"/>
        <v>0</v>
      </c>
      <c r="U22" s="114">
        <f t="array" ref="U22">IF(T21=0,0,IF(AND((ROW(T21)=MATCH(TRUE,($T$1:$T$42)&gt;0,0)),(D21="ND")),IF(T21&lt;3,T21,3),IF(AND(ROW(T21)=MATCH(TRUE,($T$1:$T$42)&gt;0,0),D21="ND12,5"),IF(T21&lt;2.5,T21,2.5),IF(D21="ND12,5",2.5,(T21-V21-W21)))))</f>
        <v>0</v>
      </c>
      <c r="V22" s="112">
        <f t="array" ref="V22">IF(T22=0,0,IF(AND((ROW(T22)=MATCH(TRUE,($T$1:$T$42)&gt;0,0)),(D22="ND")),IF(AND(T22&gt;11,T22&lt;=25),T22-11,0),IF(AND(ROW(T22)=MATCH(TRUE,($T$1:$T$42)&gt;0,0),D22="ND12,5"),IF(AND(T22&gt;10.5,T22&lt;=12.5),T22-10.5,0),IF(D22="ND12,5",2,IF(T22&lt;14,T22,14)))))</f>
        <v>0</v>
      </c>
      <c r="W22" s="112">
        <f t="array" ref="W22">IF(T22=0,0,IF(AND((ROW(T22)=MATCH(TRUE,($T$1:$T$42)&gt;0,0)),(D22="ND")),IF(AND(T22&gt;3,T22&lt;11),T22-3,IF(T22&gt;=11,8,0)),IF(AND((ROW(T22)=MATCH(TRUE,($T$1:$T$42)&gt;0,0)),(D22="ND12,5")),IF(AND(T22&gt;2.5,T22&lt;10.5),T22-2.5,IF(T22&gt;=10.5,8,0)),IF(D22="ND12,5",8,IF(AND(T22&gt;14,T22&lt;22),(T22-V22),IF(T22&gt;=22,8,0))))))</f>
        <v>0</v>
      </c>
      <c r="X22" s="254">
        <f t="array" ref="X22">IF(T22=0,0,IF((AND((ROW(T22)=MATCH(TRUE,($T$1:$T$42)&gt;0,0)))),IF(W22&gt;=6,W22-6,0),IF(W22&gt;=2,2,W22)))</f>
        <v>0</v>
      </c>
      <c r="Y22" s="254">
        <f t="array" ref="Y22">IF(T21=0,0,(IF((AND((ROW(T21)=MATCH(TRUE,($T$1:$T$42)&gt;0,0)))),IF(W21&gt;=6,6,W21),IF(W21&gt;=2,W21-2,0))))</f>
        <v>0</v>
      </c>
      <c r="Z22" s="111" t="str">
        <f t="shared" si="6"/>
        <v/>
      </c>
      <c r="AA22" s="214">
        <f>IF(E21="ND",IF(ISERROR(MATCH(D22,Datenblatt!$L$2:$L$18,0)),3,2),IF(E21="ND12,5",IF(ISERROR(MATCH(D22,Datenblatt!$L$2:$L$18,0)),2.5,2),0))</f>
        <v>0</v>
      </c>
      <c r="AB22" s="214">
        <f>IF((IF(E22="ND",14-IF(D22="",0,VLOOKUP(D22,Datenblatt!$L$2:$M$30,2,FALSE)),IF(E22="ND12,5",2,0)))&lt;0,0,(IF(E22="ND",14-IF(D22="",0,VLOOKUP(D22,Datenblatt!$L$2:$M$30,2,FALSE)),IF(E22="ND12,5",2,0))))</f>
        <v>0</v>
      </c>
      <c r="AC22" s="214">
        <f t="shared" si="14"/>
        <v>0</v>
      </c>
      <c r="AD22" s="214">
        <f t="shared" si="15"/>
        <v>0</v>
      </c>
      <c r="AE22" s="214">
        <f t="shared" si="16"/>
        <v>0</v>
      </c>
      <c r="AF22" s="112">
        <f t="shared" si="17"/>
        <v>0</v>
      </c>
      <c r="AG22" s="112">
        <f t="shared" si="18"/>
        <v>0</v>
      </c>
      <c r="AH22" s="112">
        <f>IF(E22="",0,VLOOKUP(E22,Datenblatt!$E$2:$G$28,3,FALSE))</f>
        <v>0</v>
      </c>
    </row>
    <row r="23" spans="1:34" ht="13" customHeight="1">
      <c r="A23" s="89" t="str">
        <f>IF(ISERROR(VLOOKUP(C23,Datenblatt!$B$84:$B$97,1,FALSE)),"","Ft")</f>
        <v/>
      </c>
      <c r="B23" s="84">
        <f t="shared" si="0"/>
        <v>45332</v>
      </c>
      <c r="C23" s="86">
        <f t="shared" si="4"/>
        <v>45332</v>
      </c>
      <c r="D23" s="67"/>
      <c r="E23" s="67"/>
      <c r="F23" s="68"/>
      <c r="G23" s="69"/>
      <c r="H23" s="68"/>
      <c r="I23" s="68"/>
      <c r="J23" s="99"/>
      <c r="K23" s="21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20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10" t="str">
        <f>IF(D23="","",IF(E22="ND",VLOOKUP(D23,Datenblatt!$A$2:$C$31,3,FALSE)-1,IF(E22="ND12,5",VLOOKUP(D23,Datenblatt!$A$2:$C$31,3,FALSE)-0.5,VLOOKUP(D23,Datenblatt!$A$2:$C$31,3,FALSE))))</f>
        <v/>
      </c>
      <c r="N23" s="211" t="str">
        <f t="shared" si="12"/>
        <v/>
      </c>
      <c r="O23" s="211" t="str">
        <f t="shared" si="13"/>
        <v/>
      </c>
      <c r="P23" s="186">
        <f>IF(D23="",IF($P$46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$46="Freizeit",(-M23-J23+IF(ISNUMBER(N23),(N23*1.5),0)+IF(ISNUMBER(O23),(O23*2),0)+IF(OR(E23="ND",E23="ND12,5"),2,0)),(-M23-J23)),IF($P$46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103" t="str">
        <f>IF(D23="","",VLOOKUP(D23,Datenblatt!$A$2:$D$31,4,FALSE))</f>
        <v/>
      </c>
      <c r="R23" s="104" t="str">
        <f>IF(E23="","",VLOOKUP(E23,Datenblatt!$E$2:$G$28,2,FALSE))</f>
        <v/>
      </c>
      <c r="S23" s="105"/>
      <c r="T23" s="111">
        <f t="shared" si="5"/>
        <v>0</v>
      </c>
      <c r="U23" s="114">
        <f t="array" ref="U23">IF(T22=0,0,IF(AND((ROW(T22)=MATCH(TRUE,($T$1:$T$42)&gt;0,0)),(D22="ND")),IF(T22&lt;3,T22,3),IF(AND(ROW(T22)=MATCH(TRUE,($T$1:$T$42)&gt;0,0),D22="ND12,5"),IF(T22&lt;2.5,T22,2.5),IF(D22="ND12,5",2.5,(T22-V22-W22)))))</f>
        <v>0</v>
      </c>
      <c r="V23" s="112">
        <f t="array" ref="V23">IF(T23=0,0,IF(AND((ROW(T23)=MATCH(TRUE,($T$1:$T$42)&gt;0,0)),(D23="ND")),IF(AND(T23&gt;11,T23&lt;=25),T23-11,0),IF(AND(ROW(T23)=MATCH(TRUE,($T$1:$T$42)&gt;0,0),D23="ND12,5"),IF(AND(T23&gt;10.5,T23&lt;=12.5),T23-10.5,0),IF(D23="ND12,5",2,IF(T23&lt;14,T23,14)))))</f>
        <v>0</v>
      </c>
      <c r="W23" s="112">
        <f t="array" ref="W23">IF(T23=0,0,IF(AND((ROW(T23)=MATCH(TRUE,($T$1:$T$42)&gt;0,0)),(D23="ND")),IF(AND(T23&gt;3,T23&lt;11),T23-3,IF(T23&gt;=11,8,0)),IF(AND((ROW(T23)=MATCH(TRUE,($T$1:$T$42)&gt;0,0)),(D23="ND12,5")),IF(AND(T23&gt;2.5,T23&lt;10.5),T23-2.5,IF(T23&gt;=10.5,8,0)),IF(D23="ND12,5",8,IF(AND(T23&gt;14,T23&lt;22),(T23-V23),IF(T23&gt;=22,8,0))))))</f>
        <v>0</v>
      </c>
      <c r="X23" s="254">
        <f t="array" ref="X23">IF(T23=0,0,IF((AND((ROW(T23)=MATCH(TRUE,($T$1:$T$42)&gt;0,0)))),IF(W23&gt;=6,W23-6,0),IF(W23&gt;=2,2,W23)))</f>
        <v>0</v>
      </c>
      <c r="Y23" s="254">
        <f t="array" ref="Y23">IF(T22=0,0,(IF((AND((ROW(T22)=MATCH(TRUE,($T$1:$T$42)&gt;0,0)))),IF(W22&gt;=6,6,W22),IF(W22&gt;=2,W22-2,0))))</f>
        <v>0</v>
      </c>
      <c r="Z23" s="111" t="str">
        <f t="shared" si="6"/>
        <v/>
      </c>
      <c r="AA23" s="214">
        <f>IF(E22="ND",IF(ISERROR(MATCH(D23,Datenblatt!$L$2:$L$18,0)),3,2),IF(E22="ND12,5",IF(ISERROR(MATCH(D23,Datenblatt!$L$2:$L$18,0)),2.5,2),0))</f>
        <v>0</v>
      </c>
      <c r="AB23" s="214">
        <f>IF((IF(E23="ND",14-IF(D23="",0,VLOOKUP(D23,Datenblatt!$L$2:$M$30,2,FALSE)),IF(E23="ND12,5",2,0)))&lt;0,0,(IF(E23="ND",14-IF(D23="",0,VLOOKUP(D23,Datenblatt!$L$2:$M$30,2,FALSE)),IF(E23="ND12,5",2,0))))</f>
        <v>0</v>
      </c>
      <c r="AC23" s="214">
        <f t="shared" si="14"/>
        <v>0</v>
      </c>
      <c r="AD23" s="214">
        <f t="shared" si="15"/>
        <v>0</v>
      </c>
      <c r="AE23" s="214">
        <f t="shared" si="16"/>
        <v>0</v>
      </c>
      <c r="AF23" s="112">
        <f t="shared" si="17"/>
        <v>0</v>
      </c>
      <c r="AG23" s="112">
        <f t="shared" si="18"/>
        <v>0</v>
      </c>
      <c r="AH23" s="112">
        <f>IF(E23="",0,VLOOKUP(E23,Datenblatt!$E$2:$G$28,3,FALSE))</f>
        <v>0</v>
      </c>
    </row>
    <row r="24" spans="1:34" ht="13" customHeight="1">
      <c r="A24" s="89" t="str">
        <f>IF(ISERROR(VLOOKUP(C24,Datenblatt!$B$84:$B$97,1,FALSE)),"","Ft")</f>
        <v/>
      </c>
      <c r="B24" s="84">
        <f t="shared" si="0"/>
        <v>45333</v>
      </c>
      <c r="C24" s="86">
        <f t="shared" si="4"/>
        <v>45333</v>
      </c>
      <c r="D24" s="67"/>
      <c r="E24" s="67"/>
      <c r="F24" s="68"/>
      <c r="G24" s="69"/>
      <c r="H24" s="68"/>
      <c r="I24" s="68"/>
      <c r="J24" s="99"/>
      <c r="K24" s="21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20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10" t="str">
        <f>IF(D24="","",IF(E23="ND",VLOOKUP(D24,Datenblatt!$A$2:$C$31,3,FALSE)-1,IF(E23="ND12,5",VLOOKUP(D24,Datenblatt!$A$2:$C$31,3,FALSE)-0.5,VLOOKUP(D24,Datenblatt!$A$2:$C$31,3,FALSE))))</f>
        <v/>
      </c>
      <c r="N24" s="211" t="str">
        <f t="shared" si="12"/>
        <v/>
      </c>
      <c r="O24" s="211">
        <f t="shared" si="13"/>
        <v>0</v>
      </c>
      <c r="P24" s="186">
        <f>IF(D24="",IF($P$46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$46="Freizeit",(-M24-J24+IF(ISNUMBER(N24),(N24*1.5),0)+IF(ISNUMBER(O24),(O24*2),0)+IF(OR(E24="ND",E24="ND12,5"),2,0)),(-M24-J24)),IF($P$46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103" t="str">
        <f>IF(D24="","",VLOOKUP(D24,Datenblatt!$A$2:$D$31,4,FALSE))</f>
        <v/>
      </c>
      <c r="R24" s="104" t="str">
        <f>IF(E24="","",VLOOKUP(E24,Datenblatt!$E$2:$G$28,2,FALSE))</f>
        <v/>
      </c>
      <c r="S24" s="105"/>
      <c r="T24" s="111">
        <f t="shared" si="5"/>
        <v>0</v>
      </c>
      <c r="U24" s="114">
        <f t="array" ref="U24">IF(T23=0,0,IF(AND((ROW(T23)=MATCH(TRUE,($T$1:$T$42)&gt;0,0)),(D23="ND")),IF(T23&lt;3,T23,3),IF(AND(ROW(T23)=MATCH(TRUE,($T$1:$T$42)&gt;0,0),D23="ND12,5"),IF(T23&lt;2.5,T23,2.5),IF(D23="ND12,5",2.5,(T23-V23-W23)))))</f>
        <v>0</v>
      </c>
      <c r="V24" s="112">
        <f t="array" ref="V24">IF(T24=0,0,IF(AND((ROW(T24)=MATCH(TRUE,($T$1:$T$42)&gt;0,0)),(D24="ND")),IF(AND(T24&gt;11,T24&lt;=25),T24-11,0),IF(AND(ROW(T24)=MATCH(TRUE,($T$1:$T$42)&gt;0,0),D24="ND12,5"),IF(AND(T24&gt;10.5,T24&lt;=12.5),T24-10.5,0),IF(D24="ND12,5",2,IF(T24&lt;14,T24,14)))))</f>
        <v>0</v>
      </c>
      <c r="W24" s="112">
        <f t="array" ref="W24">IF(T24=0,0,IF(AND((ROW(T24)=MATCH(TRUE,($T$1:$T$42)&gt;0,0)),(D24="ND")),IF(AND(T24&gt;3,T24&lt;11),T24-3,IF(T24&gt;=11,8,0)),IF(AND((ROW(T24)=MATCH(TRUE,($T$1:$T$42)&gt;0,0)),(D24="ND12,5")),IF(AND(T24&gt;2.5,T24&lt;10.5),T24-2.5,IF(T24&gt;=10.5,8,0)),IF(D24="ND12,5",8,IF(AND(T24&gt;14,T24&lt;22),(T24-V24),IF(T24&gt;=22,8,0))))))</f>
        <v>0</v>
      </c>
      <c r="X24" s="254">
        <f t="array" ref="X24">IF(T24=0,0,IF((AND((ROW(T24)=MATCH(TRUE,($T$1:$T$42)&gt;0,0)))),IF(W24&gt;=6,W24-6,0),IF(W24&gt;=2,2,W24)))</f>
        <v>0</v>
      </c>
      <c r="Y24" s="254">
        <f t="array" ref="Y24">IF(T23=0,0,(IF((AND((ROW(T23)=MATCH(TRUE,($T$1:$T$42)&gt;0,0)))),IF(W23&gt;=6,6,W23),IF(W23&gt;=2,W23-2,0))))</f>
        <v>0</v>
      </c>
      <c r="Z24" s="111" t="str">
        <f t="shared" si="6"/>
        <v/>
      </c>
      <c r="AA24" s="214">
        <f>IF(E23="ND",IF(ISERROR(MATCH(D24,Datenblatt!$L$2:$L$18,0)),3,2),IF(E23="ND12,5",IF(ISERROR(MATCH(D24,Datenblatt!$L$2:$L$18,0)),2.5,2),0))</f>
        <v>0</v>
      </c>
      <c r="AB24" s="214">
        <f>IF((IF(E24="ND",14-IF(D24="",0,VLOOKUP(D24,Datenblatt!$L$2:$M$30,2,FALSE)),IF(E24="ND12,5",2,0)))&lt;0,0,(IF(E24="ND",14-IF(D24="",0,VLOOKUP(D24,Datenblatt!$L$2:$M$30,2,FALSE)),IF(E24="ND12,5",2,0))))</f>
        <v>0</v>
      </c>
      <c r="AC24" s="214">
        <f t="shared" si="14"/>
        <v>0</v>
      </c>
      <c r="AD24" s="214">
        <f t="shared" si="15"/>
        <v>0</v>
      </c>
      <c r="AE24" s="214">
        <f t="shared" si="16"/>
        <v>0</v>
      </c>
      <c r="AF24" s="112">
        <f t="shared" si="17"/>
        <v>0</v>
      </c>
      <c r="AG24" s="112">
        <f t="shared" si="18"/>
        <v>0</v>
      </c>
      <c r="AH24" s="112">
        <f>IF(E24="",0,VLOOKUP(E24,Datenblatt!$E$2:$G$28,3,FALSE))</f>
        <v>0</v>
      </c>
    </row>
    <row r="25" spans="1:34" ht="13" customHeight="1">
      <c r="A25" s="89" t="str">
        <f>IF(ISERROR(VLOOKUP(C25,Datenblatt!$B$84:$B$97,1,FALSE)),"","Ft")</f>
        <v/>
      </c>
      <c r="B25" s="84">
        <f t="shared" si="0"/>
        <v>45334</v>
      </c>
      <c r="C25" s="86">
        <f t="shared" si="4"/>
        <v>45334</v>
      </c>
      <c r="D25" s="67"/>
      <c r="E25" s="67"/>
      <c r="F25" s="68"/>
      <c r="G25" s="69"/>
      <c r="H25" s="68"/>
      <c r="I25" s="68"/>
      <c r="J25" s="99"/>
      <c r="K25" s="21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20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10" t="str">
        <f>IF(D25="","",IF(E24="ND",VLOOKUP(D25,Datenblatt!$A$2:$C$31,3,FALSE)-1,IF(E24="ND12,5",VLOOKUP(D25,Datenblatt!$A$2:$C$31,3,FALSE)-0.5,VLOOKUP(D25,Datenblatt!$A$2:$C$31,3,FALSE))))</f>
        <v/>
      </c>
      <c r="N25" s="211" t="str">
        <f t="shared" si="12"/>
        <v/>
      </c>
      <c r="O25" s="211" t="str">
        <f t="shared" si="13"/>
        <v/>
      </c>
      <c r="P25" s="186">
        <f>IF(D25="",IF($P$46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$46="Freizeit",(-M25-J25+IF(ISNUMBER(N25),(N25*1.5),0)+IF(ISNUMBER(O25),(O25*2),0)+IF(OR(E25="ND",E25="ND12,5"),2,0)),(-M25-J25)),IF($P$46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103" t="str">
        <f>IF(D25="","",VLOOKUP(D25,Datenblatt!$A$2:$D$31,4,FALSE))</f>
        <v/>
      </c>
      <c r="R25" s="104" t="str">
        <f>IF(E25="","",VLOOKUP(E25,Datenblatt!$E$2:$G$28,2,FALSE))</f>
        <v/>
      </c>
      <c r="S25" s="105"/>
      <c r="T25" s="111">
        <f t="shared" si="5"/>
        <v>0</v>
      </c>
      <c r="U25" s="114">
        <f t="array" ref="U25">IF(T24=0,0,IF(AND((ROW(T24)=MATCH(TRUE,($T$1:$T$42)&gt;0,0)),(D24="ND")),IF(T24&lt;3,T24,3),IF(AND(ROW(T24)=MATCH(TRUE,($T$1:$T$42)&gt;0,0),D24="ND12,5"),IF(T24&lt;2.5,T24,2.5),IF(D24="ND12,5",2.5,(T24-V24-W24)))))</f>
        <v>0</v>
      </c>
      <c r="V25" s="112">
        <f t="array" ref="V25">IF(T25=0,0,IF(AND((ROW(T25)=MATCH(TRUE,($T$1:$T$42)&gt;0,0)),(D25="ND")),IF(AND(T25&gt;11,T25&lt;=25),T25-11,0),IF(AND(ROW(T25)=MATCH(TRUE,($T$1:$T$42)&gt;0,0),D25="ND12,5"),IF(AND(T25&gt;10.5,T25&lt;=12.5),T25-10.5,0),IF(D25="ND12,5",2,IF(T25&lt;14,T25,14)))))</f>
        <v>0</v>
      </c>
      <c r="W25" s="112">
        <f t="array" ref="W25">IF(T25=0,0,IF(AND((ROW(T25)=MATCH(TRUE,($T$1:$T$42)&gt;0,0)),(D25="ND")),IF(AND(T25&gt;3,T25&lt;11),T25-3,IF(T25&gt;=11,8,0)),IF(AND((ROW(T25)=MATCH(TRUE,($T$1:$T$42)&gt;0,0)),(D25="ND12,5")),IF(AND(T25&gt;2.5,T25&lt;10.5),T25-2.5,IF(T25&gt;=10.5,8,0)),IF(D25="ND12,5",8,IF(AND(T25&gt;14,T25&lt;22),(T25-V25),IF(T25&gt;=22,8,0))))))</f>
        <v>0</v>
      </c>
      <c r="X25" s="254">
        <f t="array" ref="X25">IF(T25=0,0,IF((AND((ROW(T25)=MATCH(TRUE,($T$1:$T$42)&gt;0,0)))),IF(W25&gt;=6,W25-6,0),IF(W25&gt;=2,2,W25)))</f>
        <v>0</v>
      </c>
      <c r="Y25" s="254">
        <f t="array" ref="Y25">IF(T24=0,0,(IF((AND((ROW(T24)=MATCH(TRUE,($T$1:$T$42)&gt;0,0)))),IF(W24&gt;=6,6,W24),IF(W24&gt;=2,W24-2,0))))</f>
        <v>0</v>
      </c>
      <c r="Z25" s="111" t="str">
        <f t="shared" si="6"/>
        <v/>
      </c>
      <c r="AA25" s="214">
        <f>IF(E24="ND",IF(ISERROR(MATCH(D25,Datenblatt!$L$2:$L$18,0)),3,2),IF(E24="ND12,5",IF(ISERROR(MATCH(D25,Datenblatt!$L$2:$L$18,0)),2.5,2),0))</f>
        <v>0</v>
      </c>
      <c r="AB25" s="214">
        <f>IF((IF(E25="ND",14-IF(D25="",0,VLOOKUP(D25,Datenblatt!$L$2:$M$30,2,FALSE)),IF(E25="ND12,5",2,0)))&lt;0,0,(IF(E25="ND",14-IF(D25="",0,VLOOKUP(D25,Datenblatt!$L$2:$M$30,2,FALSE)),IF(E25="ND12,5",2,0))))</f>
        <v>0</v>
      </c>
      <c r="AC25" s="214">
        <f t="shared" si="14"/>
        <v>0</v>
      </c>
      <c r="AD25" s="214">
        <f t="shared" si="15"/>
        <v>0</v>
      </c>
      <c r="AE25" s="214">
        <f t="shared" si="16"/>
        <v>0</v>
      </c>
      <c r="AF25" s="112">
        <f t="shared" si="17"/>
        <v>0</v>
      </c>
      <c r="AG25" s="112">
        <f t="shared" si="18"/>
        <v>0</v>
      </c>
      <c r="AH25" s="112">
        <f>IF(E25="",0,VLOOKUP(E25,Datenblatt!$E$2:$G$28,3,FALSE))</f>
        <v>0</v>
      </c>
    </row>
    <row r="26" spans="1:34" ht="13" customHeight="1">
      <c r="A26" s="89" t="str">
        <f>IF(ISERROR(VLOOKUP(C26,Datenblatt!$B$84:$B$97,1,FALSE)),"","Ft")</f>
        <v/>
      </c>
      <c r="B26" s="84">
        <f t="shared" si="0"/>
        <v>45335</v>
      </c>
      <c r="C26" s="86">
        <f t="shared" si="4"/>
        <v>45335</v>
      </c>
      <c r="D26" s="67"/>
      <c r="E26" s="67"/>
      <c r="F26" s="68"/>
      <c r="G26" s="69"/>
      <c r="H26" s="68"/>
      <c r="I26" s="68"/>
      <c r="J26" s="99"/>
      <c r="K26" s="21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20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10" t="str">
        <f>IF(D26="","",IF(E25="ND",VLOOKUP(D26,Datenblatt!$A$2:$C$31,3,FALSE)-1,IF(E25="ND12,5",VLOOKUP(D26,Datenblatt!$A$2:$C$31,3,FALSE)-0.5,VLOOKUP(D26,Datenblatt!$A$2:$C$31,3,FALSE))))</f>
        <v/>
      </c>
      <c r="N26" s="211" t="str">
        <f t="shared" si="12"/>
        <v/>
      </c>
      <c r="O26" s="211" t="str">
        <f t="shared" si="13"/>
        <v/>
      </c>
      <c r="P26" s="186">
        <f>IF(D26="",IF($P$46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$46="Freizeit",(-M26-J26+IF(ISNUMBER(N26),(N26*1.5),0)+IF(ISNUMBER(O26),(O26*2),0)+IF(OR(E26="ND",E26="ND12,5"),2,0)),(-M26-J26)),IF($P$46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103" t="str">
        <f>IF(D26="","",VLOOKUP(D26,Datenblatt!$A$2:$D$31,4,FALSE))</f>
        <v/>
      </c>
      <c r="R26" s="104" t="str">
        <f>IF(E26="","",VLOOKUP(E26,Datenblatt!$E$2:$G$28,2,FALSE))</f>
        <v/>
      </c>
      <c r="S26" s="105"/>
      <c r="T26" s="111">
        <f t="shared" si="5"/>
        <v>0</v>
      </c>
      <c r="U26" s="114">
        <f t="array" ref="U26">IF(T25=0,0,IF(AND((ROW(T25)=MATCH(TRUE,($T$1:$T$42)&gt;0,0)),(D25="ND")),IF(T25&lt;3,T25,3),IF(AND(ROW(T25)=MATCH(TRUE,($T$1:$T$42)&gt;0,0),D25="ND12,5"),IF(T25&lt;2.5,T25,2.5),IF(D25="ND12,5",2.5,(T25-V25-W25)))))</f>
        <v>0</v>
      </c>
      <c r="V26" s="112">
        <f t="array" ref="V26">IF(T26=0,0,IF(AND((ROW(T26)=MATCH(TRUE,($T$1:$T$42)&gt;0,0)),(D26="ND")),IF(AND(T26&gt;11,T26&lt;=25),T26-11,0),IF(AND(ROW(T26)=MATCH(TRUE,($T$1:$T$42)&gt;0,0),D26="ND12,5"),IF(AND(T26&gt;10.5,T26&lt;=12.5),T26-10.5,0),IF(D26="ND12,5",2,IF(T26&lt;14,T26,14)))))</f>
        <v>0</v>
      </c>
      <c r="W26" s="112">
        <f t="array" ref="W26">IF(T26=0,0,IF(AND((ROW(T26)=MATCH(TRUE,($T$1:$T$42)&gt;0,0)),(D26="ND")),IF(AND(T26&gt;3,T26&lt;11),T26-3,IF(T26&gt;=11,8,0)),IF(AND((ROW(T26)=MATCH(TRUE,($T$1:$T$42)&gt;0,0)),(D26="ND12,5")),IF(AND(T26&gt;2.5,T26&lt;10.5),T26-2.5,IF(T26&gt;=10.5,8,0)),IF(D26="ND12,5",8,IF(AND(T26&gt;14,T26&lt;22),(T26-V26),IF(T26&gt;=22,8,0))))))</f>
        <v>0</v>
      </c>
      <c r="X26" s="254">
        <f t="array" ref="X26">IF(T26=0,0,IF((AND((ROW(T26)=MATCH(TRUE,($T$1:$T$42)&gt;0,0)))),IF(W26&gt;=6,W26-6,0),IF(W26&gt;=2,2,W26)))</f>
        <v>0</v>
      </c>
      <c r="Y26" s="254">
        <f t="array" ref="Y26">IF(T25=0,0,(IF((AND((ROW(T25)=MATCH(TRUE,($T$1:$T$42)&gt;0,0)))),IF(W25&gt;=6,6,W25),IF(W25&gt;=2,W25-2,0))))</f>
        <v>0</v>
      </c>
      <c r="Z26" s="111" t="str">
        <f t="shared" si="6"/>
        <v/>
      </c>
      <c r="AA26" s="214">
        <f>IF(E25="ND",IF(ISERROR(MATCH(D26,Datenblatt!$L$2:$L$18,0)),3,2),IF(E25="ND12,5",IF(ISERROR(MATCH(D26,Datenblatt!$L$2:$L$18,0)),2.5,2),0))</f>
        <v>0</v>
      </c>
      <c r="AB26" s="214">
        <f>IF((IF(E26="ND",14-IF(D26="",0,VLOOKUP(D26,Datenblatt!$L$2:$M$30,2,FALSE)),IF(E26="ND12,5",2,0)))&lt;0,0,(IF(E26="ND",14-IF(D26="",0,VLOOKUP(D26,Datenblatt!$L$2:$M$30,2,FALSE)),IF(E26="ND12,5",2,0))))</f>
        <v>0</v>
      </c>
      <c r="AC26" s="214">
        <f t="shared" si="14"/>
        <v>0</v>
      </c>
      <c r="AD26" s="214">
        <f t="shared" si="15"/>
        <v>0</v>
      </c>
      <c r="AE26" s="214">
        <f t="shared" si="16"/>
        <v>0</v>
      </c>
      <c r="AF26" s="112">
        <f t="shared" si="17"/>
        <v>0</v>
      </c>
      <c r="AG26" s="112">
        <f t="shared" si="18"/>
        <v>0</v>
      </c>
      <c r="AH26" s="112">
        <f>IF(E26="",0,VLOOKUP(E26,Datenblatt!$E$2:$G$28,3,FALSE))</f>
        <v>0</v>
      </c>
    </row>
    <row r="27" spans="1:34" ht="13" customHeight="1">
      <c r="A27" s="89" t="str">
        <f>IF(ISERROR(VLOOKUP(C27,Datenblatt!$B$84:$B$97,1,FALSE)),"","Ft")</f>
        <v/>
      </c>
      <c r="B27" s="84">
        <f t="shared" si="0"/>
        <v>45336</v>
      </c>
      <c r="C27" s="86">
        <f t="shared" si="4"/>
        <v>45336</v>
      </c>
      <c r="D27" s="67"/>
      <c r="E27" s="67"/>
      <c r="F27" s="68"/>
      <c r="G27" s="69"/>
      <c r="H27" s="68"/>
      <c r="I27" s="68"/>
      <c r="J27" s="99"/>
      <c r="K27" s="21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20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10" t="str">
        <f>IF(D27="","",IF(E26="ND",VLOOKUP(D27,Datenblatt!$A$2:$C$31,3,FALSE)-1,IF(E26="ND12,5",VLOOKUP(D27,Datenblatt!$A$2:$C$31,3,FALSE)-0.5,VLOOKUP(D27,Datenblatt!$A$2:$C$31,3,FALSE))))</f>
        <v/>
      </c>
      <c r="N27" s="211" t="str">
        <f t="shared" si="12"/>
        <v/>
      </c>
      <c r="O27" s="211" t="str">
        <f t="shared" si="13"/>
        <v/>
      </c>
      <c r="P27" s="186">
        <f>IF(D27="",IF($P$46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$46="Freizeit",(-M27-J27+IF(ISNUMBER(N27),(N27*1.5),0)+IF(ISNUMBER(O27),(O27*2),0)+IF(OR(E27="ND",E27="ND12,5"),2,0)),(-M27-J27)),IF($P$46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103" t="str">
        <f>IF(D27="","",VLOOKUP(D27,Datenblatt!$A$2:$D$31,4,FALSE))</f>
        <v/>
      </c>
      <c r="R27" s="104" t="str">
        <f>IF(E27="","",VLOOKUP(E27,Datenblatt!$E$2:$G$28,2,FALSE))</f>
        <v/>
      </c>
      <c r="S27" s="105"/>
      <c r="T27" s="111">
        <f t="shared" si="5"/>
        <v>0</v>
      </c>
      <c r="U27" s="114">
        <f t="array" ref="U27">IF(T26=0,0,IF(AND((ROW(T26)=MATCH(TRUE,($T$1:$T$42)&gt;0,0)),(D26="ND")),IF(T26&lt;3,T26,3),IF(AND(ROW(T26)=MATCH(TRUE,($T$1:$T$42)&gt;0,0),D26="ND12,5"),IF(T26&lt;2.5,T26,2.5),IF(D26="ND12,5",2.5,(T26-V26-W26)))))</f>
        <v>0</v>
      </c>
      <c r="V27" s="112">
        <f t="array" ref="V27">IF(T27=0,0,IF(AND((ROW(T27)=MATCH(TRUE,($T$1:$T$42)&gt;0,0)),(D27="ND")),IF(AND(T27&gt;11,T27&lt;=25),T27-11,0),IF(AND(ROW(T27)=MATCH(TRUE,($T$1:$T$42)&gt;0,0),D27="ND12,5"),IF(AND(T27&gt;10.5,T27&lt;=12.5),T27-10.5,0),IF(D27="ND12,5",2,IF(T27&lt;14,T27,14)))))</f>
        <v>0</v>
      </c>
      <c r="W27" s="112">
        <f t="array" ref="W27">IF(T27=0,0,IF(AND((ROW(T27)=MATCH(TRUE,($T$1:$T$42)&gt;0,0)),(D27="ND")),IF(AND(T27&gt;3,T27&lt;11),T27-3,IF(T27&gt;=11,8,0)),IF(AND((ROW(T27)=MATCH(TRUE,($T$1:$T$42)&gt;0,0)),(D27="ND12,5")),IF(AND(T27&gt;2.5,T27&lt;10.5),T27-2.5,IF(T27&gt;=10.5,8,0)),IF(D27="ND12,5",8,IF(AND(T27&gt;14,T27&lt;22),(T27-V27),IF(T27&gt;=22,8,0))))))</f>
        <v>0</v>
      </c>
      <c r="X27" s="254">
        <f t="array" ref="X27">IF(T27=0,0,IF((AND((ROW(T27)=MATCH(TRUE,($T$1:$T$42)&gt;0,0)))),IF(W27&gt;=6,W27-6,0),IF(W27&gt;=2,2,W27)))</f>
        <v>0</v>
      </c>
      <c r="Y27" s="254">
        <f t="array" ref="Y27">IF(T26=0,0,(IF((AND((ROW(T26)=MATCH(TRUE,($T$1:$T$42)&gt;0,0)))),IF(W26&gt;=6,6,W26),IF(W26&gt;=2,W26-2,0))))</f>
        <v>0</v>
      </c>
      <c r="Z27" s="111" t="str">
        <f t="shared" si="6"/>
        <v/>
      </c>
      <c r="AA27" s="214">
        <f>IF(E26="ND",IF(ISERROR(MATCH(D27,Datenblatt!$L$2:$L$18,0)),3,2),IF(E26="ND12,5",IF(ISERROR(MATCH(D27,Datenblatt!$L$2:$L$18,0)),2.5,2),0))</f>
        <v>0</v>
      </c>
      <c r="AB27" s="214">
        <f>IF((IF(E27="ND",14-IF(D27="",0,VLOOKUP(D27,Datenblatt!$L$2:$M$30,2,FALSE)),IF(E27="ND12,5",2,0)))&lt;0,0,(IF(E27="ND",14-IF(D27="",0,VLOOKUP(D27,Datenblatt!$L$2:$M$30,2,FALSE)),IF(E27="ND12,5",2,0))))</f>
        <v>0</v>
      </c>
      <c r="AC27" s="214">
        <f t="shared" si="14"/>
        <v>0</v>
      </c>
      <c r="AD27" s="214">
        <f t="shared" si="15"/>
        <v>0</v>
      </c>
      <c r="AE27" s="214">
        <f t="shared" si="16"/>
        <v>0</v>
      </c>
      <c r="AF27" s="112">
        <f t="shared" si="17"/>
        <v>0</v>
      </c>
      <c r="AG27" s="112">
        <f t="shared" si="18"/>
        <v>0</v>
      </c>
      <c r="AH27" s="112">
        <f>IF(E27="",0,VLOOKUP(E27,Datenblatt!$E$2:$G$28,3,FALSE))</f>
        <v>0</v>
      </c>
    </row>
    <row r="28" spans="1:34" ht="13" customHeight="1">
      <c r="A28" s="89" t="str">
        <f>IF(ISERROR(VLOOKUP(C28,Datenblatt!$B$84:$B$97,1,FALSE)),"","Ft")</f>
        <v/>
      </c>
      <c r="B28" s="84">
        <f t="shared" si="0"/>
        <v>45337</v>
      </c>
      <c r="C28" s="86">
        <f t="shared" si="4"/>
        <v>45337</v>
      </c>
      <c r="D28" s="67"/>
      <c r="E28" s="67"/>
      <c r="F28" s="68"/>
      <c r="G28" s="69"/>
      <c r="H28" s="68"/>
      <c r="I28" s="68"/>
      <c r="J28" s="99"/>
      <c r="K28" s="21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20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10" t="str">
        <f>IF(D28="","",IF(E27="ND",VLOOKUP(D28,Datenblatt!$A$2:$C$31,3,FALSE)-1,IF(E27="ND12,5",VLOOKUP(D28,Datenblatt!$A$2:$C$31,3,FALSE)-0.5,VLOOKUP(D28,Datenblatt!$A$2:$C$31,3,FALSE))))</f>
        <v/>
      </c>
      <c r="N28" s="211" t="str">
        <f t="shared" si="12"/>
        <v/>
      </c>
      <c r="O28" s="211" t="str">
        <f t="shared" si="13"/>
        <v/>
      </c>
      <c r="P28" s="186">
        <f>IF(D28="",IF($P$46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$46="Freizeit",(-M28-J28+IF(ISNUMBER(N28),(N28*1.5),0)+IF(ISNUMBER(O28),(O28*2),0)+IF(OR(E28="ND",E28="ND12,5"),2,0)),(-M28-J28)),IF($P$46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103" t="str">
        <f>IF(D28="","",VLOOKUP(D28,Datenblatt!$A$2:$D$31,4,FALSE))</f>
        <v/>
      </c>
      <c r="R28" s="104" t="str">
        <f>IF(E28="","",VLOOKUP(E28,Datenblatt!$E$2:$G$28,2,FALSE))</f>
        <v/>
      </c>
      <c r="S28" s="105"/>
      <c r="T28" s="111">
        <f t="shared" si="5"/>
        <v>0</v>
      </c>
      <c r="U28" s="114">
        <f t="array" ref="U28">IF(T27=0,0,IF(AND((ROW(T27)=MATCH(TRUE,($T$1:$T$42)&gt;0,0)),(D27="ND")),IF(T27&lt;3,T27,3),IF(AND(ROW(T27)=MATCH(TRUE,($T$1:$T$42)&gt;0,0),D27="ND12,5"),IF(T27&lt;2.5,T27,2.5),IF(D27="ND12,5",2.5,(T27-V27-W27)))))</f>
        <v>0</v>
      </c>
      <c r="V28" s="112">
        <f t="array" ref="V28">IF(T28=0,0,IF(AND((ROW(T28)=MATCH(TRUE,($T$1:$T$42)&gt;0,0)),(D28="ND")),IF(AND(T28&gt;11,T28&lt;=25),T28-11,0),IF(AND(ROW(T28)=MATCH(TRUE,($T$1:$T$42)&gt;0,0),D28="ND12,5"),IF(AND(T28&gt;10.5,T28&lt;=12.5),T28-10.5,0),IF(D28="ND12,5",2,IF(T28&lt;14,T28,14)))))</f>
        <v>0</v>
      </c>
      <c r="W28" s="112">
        <f t="array" ref="W28">IF(T28=0,0,IF(AND((ROW(T28)=MATCH(TRUE,($T$1:$T$42)&gt;0,0)),(D28="ND")),IF(AND(T28&gt;3,T28&lt;11),T28-3,IF(T28&gt;=11,8,0)),IF(AND((ROW(T28)=MATCH(TRUE,($T$1:$T$42)&gt;0,0)),(D28="ND12,5")),IF(AND(T28&gt;2.5,T28&lt;10.5),T28-2.5,IF(T28&gt;=10.5,8,0)),IF(D28="ND12,5",8,IF(AND(T28&gt;14,T28&lt;22),(T28-V28),IF(T28&gt;=22,8,0))))))</f>
        <v>0</v>
      </c>
      <c r="X28" s="254">
        <f t="array" ref="X28">IF(T28=0,0,IF((AND((ROW(T28)=MATCH(TRUE,($T$1:$T$42)&gt;0,0)))),IF(W28&gt;=6,W28-6,0),IF(W28&gt;=2,2,W28)))</f>
        <v>0</v>
      </c>
      <c r="Y28" s="254">
        <f t="array" ref="Y28">IF(T27=0,0,(IF((AND((ROW(T27)=MATCH(TRUE,($T$1:$T$42)&gt;0,0)))),IF(W27&gt;=6,6,W27),IF(W27&gt;=2,W27-2,0))))</f>
        <v>0</v>
      </c>
      <c r="Z28" s="111" t="str">
        <f t="shared" si="6"/>
        <v/>
      </c>
      <c r="AA28" s="214">
        <f>IF(E27="ND",IF(ISERROR(MATCH(D28,Datenblatt!$L$2:$L$18,0)),3,2),IF(E27="ND12,5",IF(ISERROR(MATCH(D28,Datenblatt!$L$2:$L$18,0)),2.5,2),0))</f>
        <v>0</v>
      </c>
      <c r="AB28" s="214">
        <f>IF((IF(E28="ND",14-IF(D28="",0,VLOOKUP(D28,Datenblatt!$L$2:$M$30,2,FALSE)),IF(E28="ND12,5",2,0)))&lt;0,0,(IF(E28="ND",14-IF(D28="",0,VLOOKUP(D28,Datenblatt!$L$2:$M$30,2,FALSE)),IF(E28="ND12,5",2,0))))</f>
        <v>0</v>
      </c>
      <c r="AC28" s="214">
        <f t="shared" si="14"/>
        <v>0</v>
      </c>
      <c r="AD28" s="214">
        <f t="shared" si="15"/>
        <v>0</v>
      </c>
      <c r="AE28" s="214">
        <f t="shared" si="16"/>
        <v>0</v>
      </c>
      <c r="AF28" s="112">
        <f t="shared" si="17"/>
        <v>0</v>
      </c>
      <c r="AG28" s="112">
        <f t="shared" si="18"/>
        <v>0</v>
      </c>
      <c r="AH28" s="112">
        <f>IF(E28="",0,VLOOKUP(E28,Datenblatt!$E$2:$G$28,3,FALSE))</f>
        <v>0</v>
      </c>
    </row>
    <row r="29" spans="1:34" ht="13" customHeight="1">
      <c r="A29" s="89" t="str">
        <f>IF(ISERROR(VLOOKUP(C29,Datenblatt!$B$84:$B$97,1,FALSE)),"","Ft")</f>
        <v/>
      </c>
      <c r="B29" s="84">
        <f t="shared" si="0"/>
        <v>45338</v>
      </c>
      <c r="C29" s="86">
        <f t="shared" si="4"/>
        <v>45338</v>
      </c>
      <c r="D29" s="67"/>
      <c r="E29" s="67"/>
      <c r="F29" s="68"/>
      <c r="G29" s="69"/>
      <c r="H29" s="68"/>
      <c r="I29" s="68"/>
      <c r="J29" s="99"/>
      <c r="K29" s="21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20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10" t="str">
        <f>IF(D29="","",IF(E28="ND",VLOOKUP(D29,Datenblatt!$A$2:$C$31,3,FALSE)-1,IF(E28="ND12,5",VLOOKUP(D29,Datenblatt!$A$2:$C$31,3,FALSE)-0.5,VLOOKUP(D29,Datenblatt!$A$2:$C$31,3,FALSE))))</f>
        <v/>
      </c>
      <c r="N29" s="211" t="str">
        <f t="shared" si="12"/>
        <v/>
      </c>
      <c r="O29" s="211" t="str">
        <f t="shared" si="13"/>
        <v/>
      </c>
      <c r="P29" s="186">
        <f>IF(D29="",IF($P$46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$46="Freizeit",(-M29-J29+IF(ISNUMBER(N29),(N29*1.5),0)+IF(ISNUMBER(O29),(O29*2),0)+IF(OR(E29="ND",E29="ND12,5"),2,0)),(-M29-J29)),IF($P$46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103" t="str">
        <f>IF(D29="","",VLOOKUP(D29,Datenblatt!$A$2:$D$31,4,FALSE))</f>
        <v/>
      </c>
      <c r="R29" s="104" t="str">
        <f>IF(E29="","",VLOOKUP(E29,Datenblatt!$E$2:$G$28,2,FALSE))</f>
        <v/>
      </c>
      <c r="S29" s="105"/>
      <c r="T29" s="111">
        <f t="shared" si="5"/>
        <v>0</v>
      </c>
      <c r="U29" s="114">
        <f t="array" ref="U29">IF(T28=0,0,IF(AND((ROW(T28)=MATCH(TRUE,($T$1:$T$42)&gt;0,0)),(D28="ND")),IF(T28&lt;3,T28,3),IF(AND(ROW(T28)=MATCH(TRUE,($T$1:$T$42)&gt;0,0),D28="ND12,5"),IF(T28&lt;2.5,T28,2.5),IF(D28="ND12,5",2.5,(T28-V28-W28)))))</f>
        <v>0</v>
      </c>
      <c r="V29" s="112">
        <f t="array" ref="V29">IF(T29=0,0,IF(AND((ROW(T29)=MATCH(TRUE,($T$1:$T$42)&gt;0,0)),(D29="ND")),IF(AND(T29&gt;11,T29&lt;=25),T29-11,0),IF(AND(ROW(T29)=MATCH(TRUE,($T$1:$T$42)&gt;0,0),D29="ND12,5"),IF(AND(T29&gt;10.5,T29&lt;=12.5),T29-10.5,0),IF(D29="ND12,5",2,IF(T29&lt;14,T29,14)))))</f>
        <v>0</v>
      </c>
      <c r="W29" s="112">
        <f t="array" ref="W29">IF(T29=0,0,IF(AND((ROW(T29)=MATCH(TRUE,($T$1:$T$42)&gt;0,0)),(D29="ND")),IF(AND(T29&gt;3,T29&lt;11),T29-3,IF(T29&gt;=11,8,0)),IF(AND((ROW(T29)=MATCH(TRUE,($T$1:$T$42)&gt;0,0)),(D29="ND12,5")),IF(AND(T29&gt;2.5,T29&lt;10.5),T29-2.5,IF(T29&gt;=10.5,8,0)),IF(D29="ND12,5",8,IF(AND(T29&gt;14,T29&lt;22),(T29-V29),IF(T29&gt;=22,8,0))))))</f>
        <v>0</v>
      </c>
      <c r="X29" s="254">
        <f t="array" ref="X29">IF(T29=0,0,IF((AND((ROW(T29)=MATCH(TRUE,($T$1:$T$42)&gt;0,0)))),IF(W29&gt;=6,W29-6,0),IF(W29&gt;=2,2,W29)))</f>
        <v>0</v>
      </c>
      <c r="Y29" s="254">
        <f t="array" ref="Y29">IF(T28=0,0,(IF((AND((ROW(T28)=MATCH(TRUE,($T$1:$T$42)&gt;0,0)))),IF(W28&gt;=6,6,W28),IF(W28&gt;=2,W28-2,0))))</f>
        <v>0</v>
      </c>
      <c r="Z29" s="111" t="str">
        <f t="shared" si="6"/>
        <v/>
      </c>
      <c r="AA29" s="214">
        <f>IF(E28="ND",IF(ISERROR(MATCH(D29,Datenblatt!$L$2:$L$18,0)),3,2),IF(E28="ND12,5",IF(ISERROR(MATCH(D29,Datenblatt!$L$2:$L$18,0)),2.5,2),0))</f>
        <v>0</v>
      </c>
      <c r="AB29" s="214">
        <f>IF((IF(E29="ND",14-IF(D29="",0,VLOOKUP(D29,Datenblatt!$L$2:$M$30,2,FALSE)),IF(E29="ND12,5",2,0)))&lt;0,0,(IF(E29="ND",14-IF(D29="",0,VLOOKUP(D29,Datenblatt!$L$2:$M$30,2,FALSE)),IF(E29="ND12,5",2,0))))</f>
        <v>0</v>
      </c>
      <c r="AC29" s="214">
        <f t="shared" si="14"/>
        <v>0</v>
      </c>
      <c r="AD29" s="214">
        <f t="shared" si="15"/>
        <v>0</v>
      </c>
      <c r="AE29" s="214">
        <f t="shared" si="16"/>
        <v>0</v>
      </c>
      <c r="AF29" s="112">
        <f t="shared" si="17"/>
        <v>0</v>
      </c>
      <c r="AG29" s="112">
        <f t="shared" si="18"/>
        <v>0</v>
      </c>
      <c r="AH29" s="112">
        <f>IF(E29="",0,VLOOKUP(E29,Datenblatt!$E$2:$G$28,3,FALSE))</f>
        <v>0</v>
      </c>
    </row>
    <row r="30" spans="1:34" ht="13" customHeight="1">
      <c r="A30" s="89" t="str">
        <f>IF(ISERROR(VLOOKUP(C30,Datenblatt!$B$84:$B$97,1,FALSE)),"","Ft")</f>
        <v/>
      </c>
      <c r="B30" s="84">
        <f t="shared" si="0"/>
        <v>45339</v>
      </c>
      <c r="C30" s="86">
        <f t="shared" si="4"/>
        <v>45339</v>
      </c>
      <c r="D30" s="67"/>
      <c r="E30" s="67"/>
      <c r="F30" s="68"/>
      <c r="G30" s="69"/>
      <c r="H30" s="68"/>
      <c r="I30" s="68"/>
      <c r="J30" s="99"/>
      <c r="K30" s="21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20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10" t="str">
        <f>IF(D30="","",IF(E29="ND",VLOOKUP(D30,Datenblatt!$A$2:$C$31,3,FALSE)-1,IF(E29="ND12,5",VLOOKUP(D30,Datenblatt!$A$2:$C$31,3,FALSE)-0.5,VLOOKUP(D30,Datenblatt!$A$2:$C$31,3,FALSE))))</f>
        <v/>
      </c>
      <c r="N30" s="211" t="str">
        <f t="shared" si="12"/>
        <v/>
      </c>
      <c r="O30" s="211" t="str">
        <f t="shared" si="13"/>
        <v/>
      </c>
      <c r="P30" s="186">
        <f>IF(D30="",IF($P$46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$46="Freizeit",(-M30-J30+IF(ISNUMBER(N30),(N30*1.5),0)+IF(ISNUMBER(O30),(O30*2),0)+IF(OR(E30="ND",E30="ND12,5"),2,0)),(-M30-J30)),IF($P$46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103" t="str">
        <f>IF(D30="","",VLOOKUP(D30,Datenblatt!$A$2:$D$31,4,FALSE))</f>
        <v/>
      </c>
      <c r="R30" s="104" t="str">
        <f>IF(E30="","",VLOOKUP(E30,Datenblatt!$E$2:$G$28,2,FALSE))</f>
        <v/>
      </c>
      <c r="S30" s="105"/>
      <c r="T30" s="111">
        <f t="shared" si="5"/>
        <v>0</v>
      </c>
      <c r="U30" s="114">
        <f t="array" ref="U30">IF(T29=0,0,IF(AND((ROW(T29)=MATCH(TRUE,($T$1:$T$42)&gt;0,0)),(D29="ND")),IF(T29&lt;3,T29,3),IF(AND(ROW(T29)=MATCH(TRUE,($T$1:$T$42)&gt;0,0),D29="ND12,5"),IF(T29&lt;2.5,T29,2.5),IF(D29="ND12,5",2.5,(T29-V29-W29)))))</f>
        <v>0</v>
      </c>
      <c r="V30" s="112">
        <f t="array" ref="V30">IF(T30=0,0,IF(AND((ROW(T30)=MATCH(TRUE,($T$1:$T$42)&gt;0,0)),(D30="ND")),IF(AND(T30&gt;11,T30&lt;=25),T30-11,0),IF(AND(ROW(T30)=MATCH(TRUE,($T$1:$T$42)&gt;0,0),D30="ND12,5"),IF(AND(T30&gt;10.5,T30&lt;=12.5),T30-10.5,0),IF(D30="ND12,5",2,IF(T30&lt;14,T30,14)))))</f>
        <v>0</v>
      </c>
      <c r="W30" s="112">
        <f t="array" ref="W30">IF(T30=0,0,IF(AND((ROW(T30)=MATCH(TRUE,($T$1:$T$42)&gt;0,0)),(D30="ND")),IF(AND(T30&gt;3,T30&lt;11),T30-3,IF(T30&gt;=11,8,0)),IF(AND((ROW(T30)=MATCH(TRUE,($T$1:$T$42)&gt;0,0)),(D30="ND12,5")),IF(AND(T30&gt;2.5,T30&lt;10.5),T30-2.5,IF(T30&gt;=10.5,8,0)),IF(D30="ND12,5",8,IF(AND(T30&gt;14,T30&lt;22),(T30-V30),IF(T30&gt;=22,8,0))))))</f>
        <v>0</v>
      </c>
      <c r="X30" s="254">
        <f t="array" ref="X30">IF(T30=0,0,IF((AND((ROW(T30)=MATCH(TRUE,($T$1:$T$42)&gt;0,0)))),IF(W30&gt;=6,W30-6,0),IF(W30&gt;=2,2,W30)))</f>
        <v>0</v>
      </c>
      <c r="Y30" s="254">
        <f t="array" ref="Y30">IF(T29=0,0,(IF((AND((ROW(T29)=MATCH(TRUE,($T$1:$T$42)&gt;0,0)))),IF(W29&gt;=6,6,W29),IF(W29&gt;=2,W29-2,0))))</f>
        <v>0</v>
      </c>
      <c r="Z30" s="111" t="str">
        <f t="shared" si="6"/>
        <v/>
      </c>
      <c r="AA30" s="214">
        <f>IF(E29="ND",IF(ISERROR(MATCH(D30,Datenblatt!$L$2:$L$18,0)),3,2),IF(E29="ND12,5",IF(ISERROR(MATCH(D30,Datenblatt!$L$2:$L$18,0)),2.5,2),0))</f>
        <v>0</v>
      </c>
      <c r="AB30" s="214">
        <f>IF((IF(E30="ND",14-IF(D30="",0,VLOOKUP(D30,Datenblatt!$L$2:$M$30,2,FALSE)),IF(E30="ND12,5",2,0)))&lt;0,0,(IF(E30="ND",14-IF(D30="",0,VLOOKUP(D30,Datenblatt!$L$2:$M$30,2,FALSE)),IF(E30="ND12,5",2,0))))</f>
        <v>0</v>
      </c>
      <c r="AC30" s="214">
        <f t="shared" si="14"/>
        <v>0</v>
      </c>
      <c r="AD30" s="214">
        <f t="shared" si="15"/>
        <v>0</v>
      </c>
      <c r="AE30" s="214">
        <f t="shared" si="16"/>
        <v>0</v>
      </c>
      <c r="AF30" s="112">
        <f t="shared" si="17"/>
        <v>0</v>
      </c>
      <c r="AG30" s="112">
        <f t="shared" si="18"/>
        <v>0</v>
      </c>
      <c r="AH30" s="112">
        <f>IF(E30="",0,VLOOKUP(E30,Datenblatt!$E$2:$G$28,3,FALSE))</f>
        <v>0</v>
      </c>
    </row>
    <row r="31" spans="1:34" ht="13" customHeight="1">
      <c r="A31" s="89" t="str">
        <f>IF(ISERROR(VLOOKUP(C31,Datenblatt!$B$84:$B$97,1,FALSE)),"","Ft")</f>
        <v/>
      </c>
      <c r="B31" s="84">
        <f t="shared" si="0"/>
        <v>45340</v>
      </c>
      <c r="C31" s="86">
        <f t="shared" si="4"/>
        <v>45340</v>
      </c>
      <c r="D31" s="67"/>
      <c r="E31" s="67"/>
      <c r="F31" s="68"/>
      <c r="G31" s="69"/>
      <c r="H31" s="68"/>
      <c r="I31" s="68"/>
      <c r="J31" s="99"/>
      <c r="K31" s="21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20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10" t="str">
        <f>IF(D31="","",IF(E30="ND",VLOOKUP(D31,Datenblatt!$A$2:$C$31,3,FALSE)-1,IF(E30="ND12,5",VLOOKUP(D31,Datenblatt!$A$2:$C$31,3,FALSE)-0.5,VLOOKUP(D31,Datenblatt!$A$2:$C$31,3,FALSE))))</f>
        <v/>
      </c>
      <c r="N31" s="211" t="str">
        <f t="shared" si="12"/>
        <v/>
      </c>
      <c r="O31" s="211">
        <f t="shared" si="13"/>
        <v>0</v>
      </c>
      <c r="P31" s="186">
        <f>IF(D31="",IF($P$46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$46="Freizeit",(-M31-J31+IF(ISNUMBER(N31),(N31*1.5),0)+IF(ISNUMBER(O31),(O31*2),0)+IF(OR(E31="ND",E31="ND12,5"),2,0)),(-M31-J31)),IF($P$46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103" t="str">
        <f>IF(D31="","",VLOOKUP(D31,Datenblatt!$A$2:$D$31,4,FALSE))</f>
        <v/>
      </c>
      <c r="R31" s="104" t="str">
        <f>IF(E31="","",VLOOKUP(E31,Datenblatt!$E$2:$G$28,2,FALSE))</f>
        <v/>
      </c>
      <c r="S31" s="105"/>
      <c r="T31" s="111">
        <f t="shared" si="5"/>
        <v>0</v>
      </c>
      <c r="U31" s="114">
        <f t="array" ref="U31">IF(T30=0,0,IF(AND((ROW(T30)=MATCH(TRUE,($T$1:$T$42)&gt;0,0)),(D30="ND")),IF(T30&lt;3,T30,3),IF(AND(ROW(T30)=MATCH(TRUE,($T$1:$T$42)&gt;0,0),D30="ND12,5"),IF(T30&lt;2.5,T30,2.5),IF(D30="ND12,5",2.5,(T30-V30-W30)))))</f>
        <v>0</v>
      </c>
      <c r="V31" s="112">
        <f t="array" ref="V31">IF(T31=0,0,IF(AND((ROW(T31)=MATCH(TRUE,($T$1:$T$42)&gt;0,0)),(D31="ND")),IF(AND(T31&gt;11,T31&lt;=25),T31-11,0),IF(AND(ROW(T31)=MATCH(TRUE,($T$1:$T$42)&gt;0,0),D31="ND12,5"),IF(AND(T31&gt;10.5,T31&lt;=12.5),T31-10.5,0),IF(D31="ND12,5",2,IF(T31&lt;14,T31,14)))))</f>
        <v>0</v>
      </c>
      <c r="W31" s="112">
        <f t="array" ref="W31">IF(T31=0,0,IF(AND((ROW(T31)=MATCH(TRUE,($T$1:$T$42)&gt;0,0)),(D31="ND")),IF(AND(T31&gt;3,T31&lt;11),T31-3,IF(T31&gt;=11,8,0)),IF(AND((ROW(T31)=MATCH(TRUE,($T$1:$T$42)&gt;0,0)),(D31="ND12,5")),IF(AND(T31&gt;2.5,T31&lt;10.5),T31-2.5,IF(T31&gt;=10.5,8,0)),IF(D31="ND12,5",8,IF(AND(T31&gt;14,T31&lt;22),(T31-V31),IF(T31&gt;=22,8,0))))))</f>
        <v>0</v>
      </c>
      <c r="X31" s="254">
        <f t="array" ref="X31">IF(T31=0,0,IF((AND((ROW(T31)=MATCH(TRUE,($T$1:$T$42)&gt;0,0)))),IF(W31&gt;=6,W31-6,0),IF(W31&gt;=2,2,W31)))</f>
        <v>0</v>
      </c>
      <c r="Y31" s="254">
        <f t="array" ref="Y31">IF(T30=0,0,(IF((AND((ROW(T30)=MATCH(TRUE,($T$1:$T$42)&gt;0,0)))),IF(W30&gt;=6,6,W30),IF(W30&gt;=2,W30-2,0))))</f>
        <v>0</v>
      </c>
      <c r="Z31" s="111" t="str">
        <f t="shared" si="6"/>
        <v/>
      </c>
      <c r="AA31" s="214">
        <f>IF(E30="ND",IF(ISERROR(MATCH(D31,Datenblatt!$L$2:$L$18,0)),3,2),IF(E30="ND12,5",IF(ISERROR(MATCH(D31,Datenblatt!$L$2:$L$18,0)),2.5,2),0))</f>
        <v>0</v>
      </c>
      <c r="AB31" s="214">
        <f>IF((IF(E31="ND",14-IF(D31="",0,VLOOKUP(D31,Datenblatt!$L$2:$M$30,2,FALSE)),IF(E31="ND12,5",2,0)))&lt;0,0,(IF(E31="ND",14-IF(D31="",0,VLOOKUP(D31,Datenblatt!$L$2:$M$30,2,FALSE)),IF(E31="ND12,5",2,0))))</f>
        <v>0</v>
      </c>
      <c r="AC31" s="214">
        <f t="shared" si="14"/>
        <v>0</v>
      </c>
      <c r="AD31" s="214">
        <f t="shared" si="15"/>
        <v>0</v>
      </c>
      <c r="AE31" s="214">
        <f t="shared" si="16"/>
        <v>0</v>
      </c>
      <c r="AF31" s="112">
        <f t="shared" si="17"/>
        <v>0</v>
      </c>
      <c r="AG31" s="112">
        <f t="shared" si="18"/>
        <v>0</v>
      </c>
      <c r="AH31" s="112">
        <f>IF(E31="",0,VLOOKUP(E31,Datenblatt!$E$2:$G$28,3,FALSE))</f>
        <v>0</v>
      </c>
    </row>
    <row r="32" spans="1:34" ht="13" customHeight="1">
      <c r="A32" s="89" t="str">
        <f>IF(ISERROR(VLOOKUP(C32,Datenblatt!$B$84:$B$97,1,FALSE)),"","Ft")</f>
        <v/>
      </c>
      <c r="B32" s="84">
        <f t="shared" si="0"/>
        <v>45341</v>
      </c>
      <c r="C32" s="86">
        <f t="shared" si="4"/>
        <v>45341</v>
      </c>
      <c r="D32" s="67"/>
      <c r="E32" s="67"/>
      <c r="F32" s="68"/>
      <c r="G32" s="69"/>
      <c r="H32" s="68"/>
      <c r="I32" s="68"/>
      <c r="J32" s="99"/>
      <c r="K32" s="21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20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10" t="str">
        <f>IF(D32="","",IF(E31="ND",VLOOKUP(D32,Datenblatt!$A$2:$C$31,3,FALSE)-1,IF(E31="ND12,5",VLOOKUP(D32,Datenblatt!$A$2:$C$31,3,FALSE)-0.5,VLOOKUP(D32,Datenblatt!$A$2:$C$31,3,FALSE))))</f>
        <v/>
      </c>
      <c r="N32" s="211" t="str">
        <f t="shared" si="12"/>
        <v/>
      </c>
      <c r="O32" s="211" t="str">
        <f t="shared" si="13"/>
        <v/>
      </c>
      <c r="P32" s="186">
        <f>IF(D32="",IF($P$46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$46="Freizeit",(-M32-J32+IF(ISNUMBER(N32),(N32*1.5),0)+IF(ISNUMBER(O32),(O32*2),0)+IF(OR(E32="ND",E32="ND12,5"),2,0)),(-M32-J32)),IF($P$46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103" t="str">
        <f>IF(D32="","",VLOOKUP(D32,Datenblatt!$A$2:$D$31,4,FALSE))</f>
        <v/>
      </c>
      <c r="R32" s="104" t="str">
        <f>IF(E32="","",VLOOKUP(E32,Datenblatt!$E$2:$G$28,2,FALSE))</f>
        <v/>
      </c>
      <c r="S32" s="105"/>
      <c r="T32" s="111">
        <f t="shared" si="5"/>
        <v>0</v>
      </c>
      <c r="U32" s="114">
        <f t="array" ref="U32">IF(T31=0,0,IF(AND((ROW(T31)=MATCH(TRUE,($T$1:$T$42)&gt;0,0)),(D31="ND")),IF(T31&lt;3,T31,3),IF(AND(ROW(T31)=MATCH(TRUE,($T$1:$T$42)&gt;0,0),D31="ND12,5"),IF(T31&lt;2.5,T31,2.5),IF(D31="ND12,5",2.5,(T31-V31-W31)))))</f>
        <v>0</v>
      </c>
      <c r="V32" s="112">
        <f t="array" ref="V32">IF(T32=0,0,IF(AND((ROW(T32)=MATCH(TRUE,($T$1:$T$42)&gt;0,0)),(D32="ND")),IF(AND(T32&gt;11,T32&lt;=25),T32-11,0),IF(AND(ROW(T32)=MATCH(TRUE,($T$1:$T$42)&gt;0,0),D32="ND12,5"),IF(AND(T32&gt;10.5,T32&lt;=12.5),T32-10.5,0),IF(D32="ND12,5",2,IF(T32&lt;14,T32,14)))))</f>
        <v>0</v>
      </c>
      <c r="W32" s="112">
        <f t="array" ref="W32">IF(T32=0,0,IF(AND((ROW(T32)=MATCH(TRUE,($T$1:$T$42)&gt;0,0)),(D32="ND")),IF(AND(T32&gt;3,T32&lt;11),T32-3,IF(T32&gt;=11,8,0)),IF(AND((ROW(T32)=MATCH(TRUE,($T$1:$T$42)&gt;0,0)),(D32="ND12,5")),IF(AND(T32&gt;2.5,T32&lt;10.5),T32-2.5,IF(T32&gt;=10.5,8,0)),IF(D32="ND12,5",8,IF(AND(T32&gt;14,T32&lt;22),(T32-V32),IF(T32&gt;=22,8,0))))))</f>
        <v>0</v>
      </c>
      <c r="X32" s="254">
        <f t="array" ref="X32">IF(T32=0,0,IF((AND((ROW(T32)=MATCH(TRUE,($T$1:$T$42)&gt;0,0)))),IF(W32&gt;=6,W32-6,0),IF(W32&gt;=2,2,W32)))</f>
        <v>0</v>
      </c>
      <c r="Y32" s="254">
        <f t="array" ref="Y32">IF(T31=0,0,(IF((AND((ROW(T31)=MATCH(TRUE,($T$1:$T$42)&gt;0,0)))),IF(W31&gt;=6,6,W31),IF(W31&gt;=2,W31-2,0))))</f>
        <v>0</v>
      </c>
      <c r="Z32" s="111" t="str">
        <f t="shared" si="6"/>
        <v/>
      </c>
      <c r="AA32" s="214">
        <f>IF(E31="ND",IF(ISERROR(MATCH(D32,Datenblatt!$L$2:$L$18,0)),3,2),IF(E31="ND12,5",IF(ISERROR(MATCH(D32,Datenblatt!$L$2:$L$18,0)),2.5,2),0))</f>
        <v>0</v>
      </c>
      <c r="AB32" s="214">
        <f>IF((IF(E32="ND",14-IF(D32="",0,VLOOKUP(D32,Datenblatt!$L$2:$M$30,2,FALSE)),IF(E32="ND12,5",2,0)))&lt;0,0,(IF(E32="ND",14-IF(D32="",0,VLOOKUP(D32,Datenblatt!$L$2:$M$30,2,FALSE)),IF(E32="ND12,5",2,0))))</f>
        <v>0</v>
      </c>
      <c r="AC32" s="214">
        <f t="shared" si="14"/>
        <v>0</v>
      </c>
      <c r="AD32" s="214">
        <f t="shared" si="15"/>
        <v>0</v>
      </c>
      <c r="AE32" s="214">
        <f t="shared" si="16"/>
        <v>0</v>
      </c>
      <c r="AF32" s="112">
        <f t="shared" si="17"/>
        <v>0</v>
      </c>
      <c r="AG32" s="112">
        <f t="shared" si="18"/>
        <v>0</v>
      </c>
      <c r="AH32" s="112">
        <f>IF(E32="",0,VLOOKUP(E32,Datenblatt!$E$2:$G$28,3,FALSE))</f>
        <v>0</v>
      </c>
    </row>
    <row r="33" spans="1:34" ht="13" customHeight="1">
      <c r="A33" s="89" t="str">
        <f>IF(ISERROR(VLOOKUP(C33,Datenblatt!$B$84:$B$97,1,FALSE)),"","Ft")</f>
        <v/>
      </c>
      <c r="B33" s="84">
        <f t="shared" si="0"/>
        <v>45342</v>
      </c>
      <c r="C33" s="86">
        <f t="shared" si="4"/>
        <v>45342</v>
      </c>
      <c r="D33" s="67"/>
      <c r="E33" s="67"/>
      <c r="F33" s="68"/>
      <c r="G33" s="69"/>
      <c r="H33" s="68"/>
      <c r="I33" s="68"/>
      <c r="J33" s="99"/>
      <c r="K33" s="21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20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10" t="str">
        <f>IF(D33="","",IF(E32="ND",VLOOKUP(D33,Datenblatt!$A$2:$C$31,3,FALSE)-1,IF(E32="ND12,5",VLOOKUP(D33,Datenblatt!$A$2:$C$31,3,FALSE)-0.5,VLOOKUP(D33,Datenblatt!$A$2:$C$31,3,FALSE))))</f>
        <v/>
      </c>
      <c r="N33" s="211" t="str">
        <f t="shared" si="12"/>
        <v/>
      </c>
      <c r="O33" s="211" t="str">
        <f t="shared" si="13"/>
        <v/>
      </c>
      <c r="P33" s="186">
        <f>IF(D33="",IF($P$46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$46="Freizeit",(-M33-J33+IF(ISNUMBER(N33),(N33*1.5),0)+IF(ISNUMBER(O33),(O33*2),0)+IF(OR(E33="ND",E33="ND12,5"),2,0)),(-M33-J33)),IF($P$46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103" t="str">
        <f>IF(D33="","",VLOOKUP(D33,Datenblatt!$A$2:$D$31,4,FALSE))</f>
        <v/>
      </c>
      <c r="R33" s="104" t="str">
        <f>IF(E33="","",VLOOKUP(E33,Datenblatt!$E$2:$G$28,2,FALSE))</f>
        <v/>
      </c>
      <c r="S33" s="105"/>
      <c r="T33" s="111">
        <f t="shared" si="5"/>
        <v>0</v>
      </c>
      <c r="U33" s="114">
        <f t="array" ref="U33">IF(T32=0,0,IF(AND((ROW(T32)=MATCH(TRUE,($T$1:$T$42)&gt;0,0)),(D32="ND")),IF(T32&lt;3,T32,3),IF(AND(ROW(T32)=MATCH(TRUE,($T$1:$T$42)&gt;0,0),D32="ND12,5"),IF(T32&lt;2.5,T32,2.5),IF(D32="ND12,5",2.5,(T32-V32-W32)))))</f>
        <v>0</v>
      </c>
      <c r="V33" s="112">
        <f t="array" ref="V33">IF(T33=0,0,IF(AND((ROW(T33)=MATCH(TRUE,($T$1:$T$42)&gt;0,0)),(D33="ND")),IF(AND(T33&gt;11,T33&lt;=25),T33-11,0),IF(AND(ROW(T33)=MATCH(TRUE,($T$1:$T$42)&gt;0,0),D33="ND12,5"),IF(AND(T33&gt;10.5,T33&lt;=12.5),T33-10.5,0),IF(D33="ND12,5",2,IF(T33&lt;14,T33,14)))))</f>
        <v>0</v>
      </c>
      <c r="W33" s="112">
        <f t="array" ref="W33">IF(T33=0,0,IF(AND((ROW(T33)=MATCH(TRUE,($T$1:$T$42)&gt;0,0)),(D33="ND")),IF(AND(T33&gt;3,T33&lt;11),T33-3,IF(T33&gt;=11,8,0)),IF(AND((ROW(T33)=MATCH(TRUE,($T$1:$T$42)&gt;0,0)),(D33="ND12,5")),IF(AND(T33&gt;2.5,T33&lt;10.5),T33-2.5,IF(T33&gt;=10.5,8,0)),IF(D33="ND12,5",8,IF(AND(T33&gt;14,T33&lt;22),(T33-V33),IF(T33&gt;=22,8,0))))))</f>
        <v>0</v>
      </c>
      <c r="X33" s="254">
        <f t="array" ref="X33">IF(T33=0,0,IF((AND((ROW(T33)=MATCH(TRUE,($T$1:$T$42)&gt;0,0)))),IF(W33&gt;=6,W33-6,0),IF(W33&gt;=2,2,W33)))</f>
        <v>0</v>
      </c>
      <c r="Y33" s="254">
        <f t="array" ref="Y33">IF(T32=0,0,(IF((AND((ROW(T32)=MATCH(TRUE,($T$1:$T$42)&gt;0,0)))),IF(W32&gt;=6,6,W32),IF(W32&gt;=2,W32-2,0))))</f>
        <v>0</v>
      </c>
      <c r="Z33" s="111" t="str">
        <f t="shared" si="6"/>
        <v/>
      </c>
      <c r="AA33" s="214">
        <f>IF(E32="ND",IF(ISERROR(MATCH(D33,Datenblatt!$L$2:$L$18,0)),3,2),IF(E32="ND12,5",IF(ISERROR(MATCH(D33,Datenblatt!$L$2:$L$18,0)),2.5,2),0))</f>
        <v>0</v>
      </c>
      <c r="AB33" s="214">
        <f>IF((IF(E33="ND",14-IF(D33="",0,VLOOKUP(D33,Datenblatt!$L$2:$M$30,2,FALSE)),IF(E33="ND12,5",2,0)))&lt;0,0,(IF(E33="ND",14-IF(D33="",0,VLOOKUP(D33,Datenblatt!$L$2:$M$30,2,FALSE)),IF(E33="ND12,5",2,0))))</f>
        <v>0</v>
      </c>
      <c r="AC33" s="214">
        <f t="shared" si="14"/>
        <v>0</v>
      </c>
      <c r="AD33" s="214">
        <f t="shared" si="15"/>
        <v>0</v>
      </c>
      <c r="AE33" s="214">
        <f t="shared" si="16"/>
        <v>0</v>
      </c>
      <c r="AF33" s="112">
        <f t="shared" si="17"/>
        <v>0</v>
      </c>
      <c r="AG33" s="112">
        <f t="shared" si="18"/>
        <v>0</v>
      </c>
      <c r="AH33" s="112">
        <f>IF(E33="",0,VLOOKUP(E33,Datenblatt!$E$2:$G$28,3,FALSE))</f>
        <v>0</v>
      </c>
    </row>
    <row r="34" spans="1:34" ht="13" customHeight="1">
      <c r="A34" s="89" t="str">
        <f>IF(ISERROR(VLOOKUP(C34,Datenblatt!$B$84:$B$97,1,FALSE)),"","Ft")</f>
        <v/>
      </c>
      <c r="B34" s="84">
        <f t="shared" si="0"/>
        <v>45343</v>
      </c>
      <c r="C34" s="86">
        <f t="shared" si="4"/>
        <v>45343</v>
      </c>
      <c r="D34" s="67"/>
      <c r="E34" s="67"/>
      <c r="F34" s="68"/>
      <c r="G34" s="69"/>
      <c r="H34" s="68"/>
      <c r="I34" s="68"/>
      <c r="J34" s="99"/>
      <c r="K34" s="21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20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10" t="str">
        <f>IF(D34="","",IF(E33="ND",VLOOKUP(D34,Datenblatt!$A$2:$C$31,3,FALSE)-1,IF(E33="ND12,5",VLOOKUP(D34,Datenblatt!$A$2:$C$31,3,FALSE)-0.5,VLOOKUP(D34,Datenblatt!$A$2:$C$31,3,FALSE))))</f>
        <v/>
      </c>
      <c r="N34" s="211" t="str">
        <f t="shared" si="12"/>
        <v/>
      </c>
      <c r="O34" s="211" t="str">
        <f t="shared" si="13"/>
        <v/>
      </c>
      <c r="P34" s="186">
        <f>IF(D34="",IF($P$46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$46="Freizeit",(-M34-J34+IF(ISNUMBER(N34),(N34*1.5),0)+IF(ISNUMBER(O34),(O34*2),0)+IF(OR(E34="ND",E34="ND12,5"),2,0)),(-M34-J34)),IF($P$46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103" t="str">
        <f>IF(D34="","",VLOOKUP(D34,Datenblatt!$A$2:$D$31,4,FALSE))</f>
        <v/>
      </c>
      <c r="R34" s="104" t="str">
        <f>IF(E34="","",VLOOKUP(E34,Datenblatt!$E$2:$G$28,2,FALSE))</f>
        <v/>
      </c>
      <c r="S34" s="105"/>
      <c r="T34" s="111">
        <f t="shared" si="5"/>
        <v>0</v>
      </c>
      <c r="U34" s="114">
        <f t="array" ref="U34">IF(T33=0,0,IF(AND((ROW(T33)=MATCH(TRUE,($T$1:$T$42)&gt;0,0)),(D33="ND")),IF(T33&lt;3,T33,3),IF(AND(ROW(T33)=MATCH(TRUE,($T$1:$T$42)&gt;0,0),D33="ND12,5"),IF(T33&lt;2.5,T33,2.5),IF(D33="ND12,5",2.5,(T33-V33-W33)))))</f>
        <v>0</v>
      </c>
      <c r="V34" s="112">
        <f t="array" ref="V34">IF(T34=0,0,IF(AND((ROW(T34)=MATCH(TRUE,($T$1:$T$42)&gt;0,0)),(D34="ND")),IF(AND(T34&gt;11,T34&lt;=25),T34-11,0),IF(AND(ROW(T34)=MATCH(TRUE,($T$1:$T$42)&gt;0,0),D34="ND12,5"),IF(AND(T34&gt;10.5,T34&lt;=12.5),T34-10.5,0),IF(D34="ND12,5",2,IF(T34&lt;14,T34,14)))))</f>
        <v>0</v>
      </c>
      <c r="W34" s="112">
        <f t="array" ref="W34">IF(T34=0,0,IF(AND((ROW(T34)=MATCH(TRUE,($T$1:$T$42)&gt;0,0)),(D34="ND")),IF(AND(T34&gt;3,T34&lt;11),T34-3,IF(T34&gt;=11,8,0)),IF(AND((ROW(T34)=MATCH(TRUE,($T$1:$T$42)&gt;0,0)),(D34="ND12,5")),IF(AND(T34&gt;2.5,T34&lt;10.5),T34-2.5,IF(T34&gt;=10.5,8,0)),IF(D34="ND12,5",8,IF(AND(T34&gt;14,T34&lt;22),(T34-V34),IF(T34&gt;=22,8,0))))))</f>
        <v>0</v>
      </c>
      <c r="X34" s="254">
        <f t="array" ref="X34">IF(T34=0,0,IF((AND((ROW(T34)=MATCH(TRUE,($T$1:$T$42)&gt;0,0)))),IF(W34&gt;=6,W34-6,0),IF(W34&gt;=2,2,W34)))</f>
        <v>0</v>
      </c>
      <c r="Y34" s="254">
        <f t="array" ref="Y34">IF(T33=0,0,(IF((AND((ROW(T33)=MATCH(TRUE,($T$1:$T$42)&gt;0,0)))),IF(W33&gt;=6,6,W33),IF(W33&gt;=2,W33-2,0))))</f>
        <v>0</v>
      </c>
      <c r="Z34" s="111" t="str">
        <f t="shared" si="6"/>
        <v/>
      </c>
      <c r="AA34" s="214">
        <f>IF(E33="ND",IF(ISERROR(MATCH(D34,Datenblatt!$L$2:$L$18,0)),3,2),IF(E33="ND12,5",IF(ISERROR(MATCH(D34,Datenblatt!$L$2:$L$18,0)),2.5,2),0))</f>
        <v>0</v>
      </c>
      <c r="AB34" s="214">
        <f>IF((IF(E34="ND",14-IF(D34="",0,VLOOKUP(D34,Datenblatt!$L$2:$M$30,2,FALSE)),IF(E34="ND12,5",2,0)))&lt;0,0,(IF(E34="ND",14-IF(D34="",0,VLOOKUP(D34,Datenblatt!$L$2:$M$30,2,FALSE)),IF(E34="ND12,5",2,0))))</f>
        <v>0</v>
      </c>
      <c r="AC34" s="214">
        <f t="shared" si="14"/>
        <v>0</v>
      </c>
      <c r="AD34" s="214">
        <f t="shared" si="15"/>
        <v>0</v>
      </c>
      <c r="AE34" s="214">
        <f t="shared" si="16"/>
        <v>0</v>
      </c>
      <c r="AF34" s="112">
        <f t="shared" si="17"/>
        <v>0</v>
      </c>
      <c r="AG34" s="112">
        <f t="shared" si="18"/>
        <v>0</v>
      </c>
      <c r="AH34" s="112">
        <f>IF(E34="",0,VLOOKUP(E34,Datenblatt!$E$2:$G$28,3,FALSE))</f>
        <v>0</v>
      </c>
    </row>
    <row r="35" spans="1:34" ht="13" customHeight="1">
      <c r="A35" s="89" t="str">
        <f>IF(ISERROR(VLOOKUP(C35,Datenblatt!$B$84:$B$97,1,FALSE)),"","Ft")</f>
        <v/>
      </c>
      <c r="B35" s="84">
        <f t="shared" si="0"/>
        <v>45344</v>
      </c>
      <c r="C35" s="86">
        <f t="shared" si="4"/>
        <v>45344</v>
      </c>
      <c r="D35" s="67"/>
      <c r="E35" s="67"/>
      <c r="F35" s="68"/>
      <c r="G35" s="69"/>
      <c r="H35" s="68"/>
      <c r="I35" s="68"/>
      <c r="J35" s="99"/>
      <c r="K35" s="21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20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10" t="str">
        <f>IF(D35="","",IF(E34="ND",VLOOKUP(D35,Datenblatt!$A$2:$C$31,3,FALSE)-1,IF(E34="ND12,5",VLOOKUP(D35,Datenblatt!$A$2:$C$31,3,FALSE)-0.5,VLOOKUP(D35,Datenblatt!$A$2:$C$31,3,FALSE))))</f>
        <v/>
      </c>
      <c r="N35" s="211" t="str">
        <f t="shared" si="12"/>
        <v/>
      </c>
      <c r="O35" s="211" t="str">
        <f t="shared" si="13"/>
        <v/>
      </c>
      <c r="P35" s="186">
        <f>IF(D35="",IF($P$46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$46="Freizeit",(-M35-J35+IF(ISNUMBER(N35),(N35*1.5),0)+IF(ISNUMBER(O35),(O35*2),0)+IF(OR(E35="ND",E35="ND12,5"),2,0)),(-M35-J35)),IF($P$46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103" t="str">
        <f>IF(D35="","",VLOOKUP(D35,Datenblatt!$A$2:$D$31,4,FALSE))</f>
        <v/>
      </c>
      <c r="R35" s="104" t="str">
        <f>IF(E35="","",VLOOKUP(E35,Datenblatt!$E$2:$G$28,2,FALSE))</f>
        <v/>
      </c>
      <c r="S35" s="105"/>
      <c r="T35" s="111">
        <f t="shared" si="5"/>
        <v>0</v>
      </c>
      <c r="U35" s="114">
        <f t="array" ref="U35">IF(T34=0,0,IF(AND((ROW(T34)=MATCH(TRUE,($T$1:$T$42)&gt;0,0)),(D34="ND")),IF(T34&lt;3,T34,3),IF(AND(ROW(T34)=MATCH(TRUE,($T$1:$T$42)&gt;0,0),D34="ND12,5"),IF(T34&lt;2.5,T34,2.5),IF(D34="ND12,5",2.5,(T34-V34-W34)))))</f>
        <v>0</v>
      </c>
      <c r="V35" s="112">
        <f t="array" ref="V35">IF(T35=0,0,IF(AND((ROW(T35)=MATCH(TRUE,($T$1:$T$42)&gt;0,0)),(D35="ND")),IF(AND(T35&gt;11,T35&lt;=25),T35-11,0),IF(AND(ROW(T35)=MATCH(TRUE,($T$1:$T$42)&gt;0,0),D35="ND12,5"),IF(AND(T35&gt;10.5,T35&lt;=12.5),T35-10.5,0),IF(D35="ND12,5",2,IF(T35&lt;14,T35,14)))))</f>
        <v>0</v>
      </c>
      <c r="W35" s="112">
        <f t="array" ref="W35">IF(T35=0,0,IF(AND((ROW(T35)=MATCH(TRUE,($T$1:$T$42)&gt;0,0)),(D35="ND")),IF(AND(T35&gt;3,T35&lt;11),T35-3,IF(T35&gt;=11,8,0)),IF(AND((ROW(T35)=MATCH(TRUE,($T$1:$T$42)&gt;0,0)),(D35="ND12,5")),IF(AND(T35&gt;2.5,T35&lt;10.5),T35-2.5,IF(T35&gt;=10.5,8,0)),IF(D35="ND12,5",8,IF(AND(T35&gt;14,T35&lt;22),(T35-V35),IF(T35&gt;=22,8,0))))))</f>
        <v>0</v>
      </c>
      <c r="X35" s="254">
        <f t="array" ref="X35">IF(T35=0,0,IF((AND((ROW(T35)=MATCH(TRUE,($T$1:$T$42)&gt;0,0)))),IF(W35&gt;=6,W35-6,0),IF(W35&gt;=2,2,W35)))</f>
        <v>0</v>
      </c>
      <c r="Y35" s="254">
        <f t="array" ref="Y35">IF(T34=0,0,(IF((AND((ROW(T34)=MATCH(TRUE,($T$1:$T$42)&gt;0,0)))),IF(W34&gt;=6,6,W34),IF(W34&gt;=2,W34-2,0))))</f>
        <v>0</v>
      </c>
      <c r="Z35" s="111" t="str">
        <f t="shared" si="6"/>
        <v/>
      </c>
      <c r="AA35" s="214">
        <f>IF(E34="ND",IF(ISERROR(MATCH(D35,Datenblatt!$L$2:$L$18,0)),3,2),IF(E34="ND12,5",IF(ISERROR(MATCH(D35,Datenblatt!$L$2:$L$18,0)),2.5,2),0))</f>
        <v>0</v>
      </c>
      <c r="AB35" s="214">
        <f>IF((IF(E35="ND",14-IF(D35="",0,VLOOKUP(D35,Datenblatt!$L$2:$M$30,2,FALSE)),IF(E35="ND12,5",2,0)))&lt;0,0,(IF(E35="ND",14-IF(D35="",0,VLOOKUP(D35,Datenblatt!$L$2:$M$30,2,FALSE)),IF(E35="ND12,5",2,0))))</f>
        <v>0</v>
      </c>
      <c r="AC35" s="214">
        <f t="shared" si="14"/>
        <v>0</v>
      </c>
      <c r="AD35" s="214">
        <f t="shared" si="15"/>
        <v>0</v>
      </c>
      <c r="AE35" s="214">
        <f t="shared" si="16"/>
        <v>0</v>
      </c>
      <c r="AF35" s="112">
        <f t="shared" si="17"/>
        <v>0</v>
      </c>
      <c r="AG35" s="112">
        <f t="shared" si="18"/>
        <v>0</v>
      </c>
      <c r="AH35" s="112">
        <f>IF(E35="",0,VLOOKUP(E35,Datenblatt!$E$2:$G$28,3,FALSE))</f>
        <v>0</v>
      </c>
    </row>
    <row r="36" spans="1:34" ht="13" customHeight="1">
      <c r="A36" s="89" t="str">
        <f>IF(ISERROR(VLOOKUP(C36,Datenblatt!$B$84:$B$97,1,FALSE)),"","Ft")</f>
        <v/>
      </c>
      <c r="B36" s="84">
        <f t="shared" si="0"/>
        <v>45345</v>
      </c>
      <c r="C36" s="86">
        <f t="shared" si="4"/>
        <v>45345</v>
      </c>
      <c r="D36" s="67"/>
      <c r="E36" s="67"/>
      <c r="F36" s="68"/>
      <c r="G36" s="69"/>
      <c r="H36" s="68"/>
      <c r="I36" s="68"/>
      <c r="J36" s="99"/>
      <c r="K36" s="21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20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10" t="str">
        <f>IF(D36="","",IF(E35="ND",VLOOKUP(D36,Datenblatt!$A$2:$C$31,3,FALSE)-1,IF(E35="ND12,5",VLOOKUP(D36,Datenblatt!$A$2:$C$31,3,FALSE)-0.5,VLOOKUP(D36,Datenblatt!$A$2:$C$31,3,FALSE))))</f>
        <v/>
      </c>
      <c r="N36" s="211" t="str">
        <f t="shared" si="12"/>
        <v/>
      </c>
      <c r="O36" s="211" t="str">
        <f t="shared" si="13"/>
        <v/>
      </c>
      <c r="P36" s="186">
        <f>IF(D36="",IF($P$46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$46="Freizeit",(-M36-J36+IF(ISNUMBER(N36),(N36*1.5),0)+IF(ISNUMBER(O36),(O36*2),0)+IF(OR(E36="ND",E36="ND12,5"),2,0)),(-M36-J36)),IF($P$46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103" t="str">
        <f>IF(D36="","",VLOOKUP(D36,Datenblatt!$A$2:$D$31,4,FALSE))</f>
        <v/>
      </c>
      <c r="R36" s="104" t="str">
        <f>IF(E36="","",VLOOKUP(E36,Datenblatt!$E$2:$G$28,2,FALSE))</f>
        <v/>
      </c>
      <c r="S36" s="105"/>
      <c r="T36" s="111">
        <f t="shared" si="5"/>
        <v>0</v>
      </c>
      <c r="U36" s="114">
        <f t="array" ref="U36">IF(T35=0,0,IF(AND((ROW(T35)=MATCH(TRUE,($T$1:$T$42)&gt;0,0)),(D35="ND")),IF(T35&lt;3,T35,3),IF(AND(ROW(T35)=MATCH(TRUE,($T$1:$T$42)&gt;0,0),D35="ND12,5"),IF(T35&lt;2.5,T35,2.5),IF(D35="ND12,5",2.5,(T35-V35-W35)))))</f>
        <v>0</v>
      </c>
      <c r="V36" s="112">
        <f t="array" ref="V36">IF(T36=0,0,IF(AND((ROW(T36)=MATCH(TRUE,($T$1:$T$42)&gt;0,0)),(D36="ND")),IF(AND(T36&gt;11,T36&lt;=25),T36-11,0),IF(AND(ROW(T36)=MATCH(TRUE,($T$1:$T$42)&gt;0,0),D36="ND12,5"),IF(AND(T36&gt;10.5,T36&lt;=12.5),T36-10.5,0),IF(D36="ND12,5",2,IF(T36&lt;14,T36,14)))))</f>
        <v>0</v>
      </c>
      <c r="W36" s="112">
        <f t="array" ref="W36">IF(T36=0,0,IF(AND((ROW(T36)=MATCH(TRUE,($T$1:$T$42)&gt;0,0)),(D36="ND")),IF(AND(T36&gt;3,T36&lt;11),T36-3,IF(T36&gt;=11,8,0)),IF(AND((ROW(T36)=MATCH(TRUE,($T$1:$T$42)&gt;0,0)),(D36="ND12,5")),IF(AND(T36&gt;2.5,T36&lt;10.5),T36-2.5,IF(T36&gt;=10.5,8,0)),IF(D36="ND12,5",8,IF(AND(T36&gt;14,T36&lt;22),(T36-V36),IF(T36&gt;=22,8,0))))))</f>
        <v>0</v>
      </c>
      <c r="X36" s="254">
        <f t="array" ref="X36">IF(T36=0,0,IF((AND((ROW(T36)=MATCH(TRUE,($T$1:$T$42)&gt;0,0)))),IF(W36&gt;=6,W36-6,0),IF(W36&gt;=2,2,W36)))</f>
        <v>0</v>
      </c>
      <c r="Y36" s="254">
        <f t="array" ref="Y36">IF(T35=0,0,(IF((AND((ROW(T35)=MATCH(TRUE,($T$1:$T$42)&gt;0,0)))),IF(W35&gt;=6,6,W35),IF(W35&gt;=2,W35-2,0))))</f>
        <v>0</v>
      </c>
      <c r="Z36" s="111" t="str">
        <f t="shared" si="6"/>
        <v/>
      </c>
      <c r="AA36" s="214">
        <f>IF(E35="ND",IF(ISERROR(MATCH(D36,Datenblatt!$L$2:$L$18,0)),3,2),IF(E35="ND12,5",IF(ISERROR(MATCH(D36,Datenblatt!$L$2:$L$18,0)),2.5,2),0))</f>
        <v>0</v>
      </c>
      <c r="AB36" s="214">
        <f>IF((IF(E36="ND",14-IF(D36="",0,VLOOKUP(D36,Datenblatt!$L$2:$M$30,2,FALSE)),IF(E36="ND12,5",2,0)))&lt;0,0,(IF(E36="ND",14-IF(D36="",0,VLOOKUP(D36,Datenblatt!$L$2:$M$30,2,FALSE)),IF(E36="ND12,5",2,0))))</f>
        <v>0</v>
      </c>
      <c r="AC36" s="214">
        <f t="shared" si="14"/>
        <v>0</v>
      </c>
      <c r="AD36" s="214">
        <f t="shared" si="15"/>
        <v>0</v>
      </c>
      <c r="AE36" s="214">
        <f t="shared" si="16"/>
        <v>0</v>
      </c>
      <c r="AF36" s="112">
        <f t="shared" si="17"/>
        <v>0</v>
      </c>
      <c r="AG36" s="112">
        <f t="shared" si="18"/>
        <v>0</v>
      </c>
      <c r="AH36" s="112">
        <f>IF(E36="",0,VLOOKUP(E36,Datenblatt!$E$2:$G$28,3,FALSE))</f>
        <v>0</v>
      </c>
    </row>
    <row r="37" spans="1:34" ht="13" customHeight="1">
      <c r="A37" s="89" t="str">
        <f>IF(ISERROR(VLOOKUP(C37,Datenblatt!$B$84:$B$97,1,FALSE)),"","Ft")</f>
        <v/>
      </c>
      <c r="B37" s="84">
        <f t="shared" si="0"/>
        <v>45346</v>
      </c>
      <c r="C37" s="86">
        <f t="shared" si="4"/>
        <v>45346</v>
      </c>
      <c r="D37" s="67"/>
      <c r="E37" s="67"/>
      <c r="F37" s="68"/>
      <c r="G37" s="69"/>
      <c r="H37" s="68"/>
      <c r="I37" s="68"/>
      <c r="J37" s="99"/>
      <c r="K37" s="21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20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10" t="str">
        <f>IF(D37="","",IF(E36="ND",VLOOKUP(D37,Datenblatt!$A$2:$C$31,3,FALSE)-1,IF(E36="ND12,5",VLOOKUP(D37,Datenblatt!$A$2:$C$31,3,FALSE)-0.5,VLOOKUP(D37,Datenblatt!$A$2:$C$31,3,FALSE))))</f>
        <v/>
      </c>
      <c r="N37" s="211" t="str">
        <f t="shared" si="12"/>
        <v/>
      </c>
      <c r="O37" s="211" t="str">
        <f t="shared" si="13"/>
        <v/>
      </c>
      <c r="P37" s="186">
        <f>IF(D37="",IF($P$46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$46="Freizeit",(-M37-J37+IF(ISNUMBER(N37),(N37*1.5),0)+IF(ISNUMBER(O37),(O37*2),0)+IF(OR(E37="ND",E37="ND12,5"),2,0)),(-M37-J37)),IF($P$46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103" t="str">
        <f>IF(D37="","",VLOOKUP(D37,Datenblatt!$A$2:$D$31,4,FALSE))</f>
        <v/>
      </c>
      <c r="R37" s="104" t="str">
        <f>IF(E37="","",VLOOKUP(E37,Datenblatt!$E$2:$G$28,2,FALSE))</f>
        <v/>
      </c>
      <c r="S37" s="105"/>
      <c r="T37" s="111">
        <f t="shared" si="5"/>
        <v>0</v>
      </c>
      <c r="U37" s="114">
        <f t="array" ref="U37">IF(T36=0,0,IF(AND((ROW(T36)=MATCH(TRUE,($T$1:$T$42)&gt;0,0)),(D36="ND")),IF(T36&lt;3,T36,3),IF(AND(ROW(T36)=MATCH(TRUE,($T$1:$T$42)&gt;0,0),D36="ND12,5"),IF(T36&lt;2.5,T36,2.5),IF(D36="ND12,5",2.5,(T36-V36-W36)))))</f>
        <v>0</v>
      </c>
      <c r="V37" s="112">
        <f t="array" ref="V37">IF(T37=0,0,IF(AND((ROW(T37)=MATCH(TRUE,($T$1:$T$42)&gt;0,0)),(D37="ND")),IF(AND(T37&gt;11,T37&lt;=25),T37-11,0),IF(AND(ROW(T37)=MATCH(TRUE,($T$1:$T$42)&gt;0,0),D37="ND12,5"),IF(AND(T37&gt;10.5,T37&lt;=12.5),T37-10.5,0),IF(D37="ND12,5",2,IF(T37&lt;14,T37,14)))))</f>
        <v>0</v>
      </c>
      <c r="W37" s="112">
        <f t="array" ref="W37">IF(T37=0,0,IF(AND((ROW(T37)=MATCH(TRUE,($T$1:$T$42)&gt;0,0)),(D37="ND")),IF(AND(T37&gt;3,T37&lt;11),T37-3,IF(T37&gt;=11,8,0)),IF(AND((ROW(T37)=MATCH(TRUE,($T$1:$T$42)&gt;0,0)),(D37="ND12,5")),IF(AND(T37&gt;2.5,T37&lt;10.5),T37-2.5,IF(T37&gt;=10.5,8,0)),IF(D37="ND12,5",8,IF(AND(T37&gt;14,T37&lt;22),(T37-V37),IF(T37&gt;=22,8,0))))))</f>
        <v>0</v>
      </c>
      <c r="X37" s="254">
        <f t="array" ref="X37">IF(T37=0,0,IF((AND((ROW(T37)=MATCH(TRUE,($T$1:$T$42)&gt;0,0)))),IF(W37&gt;=6,W37-6,0),IF(W37&gt;=2,2,W37)))</f>
        <v>0</v>
      </c>
      <c r="Y37" s="254">
        <f t="array" ref="Y37">IF(T36=0,0,(IF((AND((ROW(T36)=MATCH(TRUE,($T$1:$T$42)&gt;0,0)))),IF(W36&gt;=6,6,W36),IF(W36&gt;=2,W36-2,0))))</f>
        <v>0</v>
      </c>
      <c r="Z37" s="111" t="str">
        <f t="shared" si="6"/>
        <v/>
      </c>
      <c r="AA37" s="214">
        <f>IF(E36="ND",IF(ISERROR(MATCH(D37,Datenblatt!$L$2:$L$18,0)),3,2),IF(E36="ND12,5",IF(ISERROR(MATCH(D37,Datenblatt!$L$2:$L$18,0)),2.5,2),0))</f>
        <v>0</v>
      </c>
      <c r="AB37" s="214">
        <f>IF((IF(E37="ND",14-IF(D37="",0,VLOOKUP(D37,Datenblatt!$L$2:$M$30,2,FALSE)),IF(E37="ND12,5",2,0)))&lt;0,0,(IF(E37="ND",14-IF(D37="",0,VLOOKUP(D37,Datenblatt!$L$2:$M$30,2,FALSE)),IF(E37="ND12,5",2,0))))</f>
        <v>0</v>
      </c>
      <c r="AC37" s="214">
        <f t="shared" si="14"/>
        <v>0</v>
      </c>
      <c r="AD37" s="214">
        <f t="shared" si="15"/>
        <v>0</v>
      </c>
      <c r="AE37" s="214">
        <f t="shared" si="16"/>
        <v>0</v>
      </c>
      <c r="AF37" s="112">
        <f t="shared" si="17"/>
        <v>0</v>
      </c>
      <c r="AG37" s="112">
        <f t="shared" si="18"/>
        <v>0</v>
      </c>
      <c r="AH37" s="112">
        <f>IF(E37="",0,VLOOKUP(E37,Datenblatt!$E$2:$G$28,3,FALSE))</f>
        <v>0</v>
      </c>
    </row>
    <row r="38" spans="1:34" ht="13" customHeight="1">
      <c r="A38" s="89" t="str">
        <f>IF(ISERROR(VLOOKUP(C38,Datenblatt!$B$84:$B$97,1,FALSE)),"","Ft")</f>
        <v/>
      </c>
      <c r="B38" s="84">
        <f t="shared" si="0"/>
        <v>45347</v>
      </c>
      <c r="C38" s="86">
        <f t="shared" si="4"/>
        <v>45347</v>
      </c>
      <c r="D38" s="67"/>
      <c r="E38" s="67"/>
      <c r="F38" s="68"/>
      <c r="G38" s="69"/>
      <c r="H38" s="68"/>
      <c r="I38" s="68"/>
      <c r="J38" s="99"/>
      <c r="K38" s="21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20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10" t="str">
        <f>IF(D38="","",IF(E37="ND",VLOOKUP(D38,Datenblatt!$A$2:$C$31,3,FALSE)-1,IF(E37="ND12,5",VLOOKUP(D38,Datenblatt!$A$2:$C$31,3,FALSE)-0.5,VLOOKUP(D38,Datenblatt!$A$2:$C$31,3,FALSE))))</f>
        <v/>
      </c>
      <c r="N38" s="211" t="str">
        <f t="shared" si="12"/>
        <v/>
      </c>
      <c r="O38" s="211">
        <f t="shared" si="13"/>
        <v>0</v>
      </c>
      <c r="P38" s="186">
        <f>IF(D38="",IF($P$46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$46="Freizeit",(-M38-J38+IF(ISNUMBER(N38),(N38*1.5),0)+IF(ISNUMBER(O38),(O38*2),0)+IF(OR(E38="ND",E38="ND12,5"),2,0)),(-M38-J38)),IF($P$46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103" t="str">
        <f>IF(D38="","",VLOOKUP(D38,Datenblatt!$A$2:$D$31,4,FALSE))</f>
        <v/>
      </c>
      <c r="R38" s="104" t="str">
        <f>IF(E38="","",VLOOKUP(E38,Datenblatt!$E$2:$G$28,2,FALSE))</f>
        <v/>
      </c>
      <c r="S38" s="105"/>
      <c r="T38" s="111">
        <f t="shared" si="5"/>
        <v>0</v>
      </c>
      <c r="U38" s="114">
        <f t="array" ref="U38">IF(T37=0,0,IF(AND((ROW(T37)=MATCH(TRUE,($T$1:$T$42)&gt;0,0)),(D37="ND")),IF(T37&lt;3,T37,3),IF(AND(ROW(T37)=MATCH(TRUE,($T$1:$T$42)&gt;0,0),D37="ND12,5"),IF(T37&lt;2.5,T37,2.5),IF(D37="ND12,5",2.5,(T37-V37-W37)))))</f>
        <v>0</v>
      </c>
      <c r="V38" s="112">
        <f t="array" ref="V38">IF(T38=0,0,IF(AND((ROW(T38)=MATCH(TRUE,($T$1:$T$42)&gt;0,0)),(D38="ND")),IF(AND(T38&gt;11,T38&lt;=25),T38-11,0),IF(AND(ROW(T38)=MATCH(TRUE,($T$1:$T$42)&gt;0,0),D38="ND12,5"),IF(AND(T38&gt;10.5,T38&lt;=12.5),T38-10.5,0),IF(D38="ND12,5",2,IF(T38&lt;14,T38,14)))))</f>
        <v>0</v>
      </c>
      <c r="W38" s="112">
        <f t="array" ref="W38">IF(T38=0,0,IF(AND((ROW(T38)=MATCH(TRUE,($T$1:$T$42)&gt;0,0)),(D38="ND")),IF(AND(T38&gt;3,T38&lt;11),T38-3,IF(T38&gt;=11,8,0)),IF(AND((ROW(T38)=MATCH(TRUE,($T$1:$T$42)&gt;0,0)),(D38="ND12,5")),IF(AND(T38&gt;2.5,T38&lt;10.5),T38-2.5,IF(T38&gt;=10.5,8,0)),IF(D38="ND12,5",8,IF(AND(T38&gt;14,T38&lt;22),(T38-V38),IF(T38&gt;=22,8,0))))))</f>
        <v>0</v>
      </c>
      <c r="X38" s="254">
        <f t="array" ref="X38">IF(T38=0,0,IF((AND((ROW(T38)=MATCH(TRUE,($T$1:$T$42)&gt;0,0)))),IF(W38&gt;=6,W38-6,0),IF(W38&gt;=2,2,W38)))</f>
        <v>0</v>
      </c>
      <c r="Y38" s="254">
        <f t="array" ref="Y38">IF(T37=0,0,(IF((AND((ROW(T37)=MATCH(TRUE,($T$1:$T$42)&gt;0,0)))),IF(W37&gt;=6,6,W37),IF(W37&gt;=2,W37-2,0))))</f>
        <v>0</v>
      </c>
      <c r="Z38" s="111" t="str">
        <f t="shared" si="6"/>
        <v/>
      </c>
      <c r="AA38" s="214">
        <f>IF(E37="ND",IF(ISERROR(MATCH(D38,Datenblatt!$L$2:$L$18,0)),3,2),IF(E37="ND12,5",IF(ISERROR(MATCH(D38,Datenblatt!$L$2:$L$18,0)),2.5,2),0))</f>
        <v>0</v>
      </c>
      <c r="AB38" s="214">
        <f>IF((IF(E38="ND",14-IF(D38="",0,VLOOKUP(D38,Datenblatt!$L$2:$M$30,2,FALSE)),IF(E38="ND12,5",2,0)))&lt;0,0,(IF(E38="ND",14-IF(D38="",0,VLOOKUP(D38,Datenblatt!$L$2:$M$30,2,FALSE)),IF(E38="ND12,5",2,0))))</f>
        <v>0</v>
      </c>
      <c r="AC38" s="214">
        <f t="shared" si="14"/>
        <v>0</v>
      </c>
      <c r="AD38" s="214">
        <f t="shared" si="15"/>
        <v>0</v>
      </c>
      <c r="AE38" s="214">
        <f t="shared" si="16"/>
        <v>0</v>
      </c>
      <c r="AF38" s="112">
        <f t="shared" si="17"/>
        <v>0</v>
      </c>
      <c r="AG38" s="112">
        <f t="shared" si="18"/>
        <v>0</v>
      </c>
      <c r="AH38" s="112">
        <f>IF(E38="",0,VLOOKUP(E38,Datenblatt!$E$2:$G$28,3,FALSE))</f>
        <v>0</v>
      </c>
    </row>
    <row r="39" spans="1:34" ht="13" customHeight="1">
      <c r="A39" s="89" t="str">
        <f>IF(ISERROR(VLOOKUP(C39,Datenblatt!$B$84:$B$97,1,FALSE)),"","Ft")</f>
        <v/>
      </c>
      <c r="B39" s="84">
        <f t="shared" si="0"/>
        <v>45348</v>
      </c>
      <c r="C39" s="86">
        <f t="shared" si="4"/>
        <v>45348</v>
      </c>
      <c r="D39" s="67"/>
      <c r="E39" s="67"/>
      <c r="F39" s="68"/>
      <c r="G39" s="69"/>
      <c r="H39" s="68"/>
      <c r="I39" s="68"/>
      <c r="J39" s="99"/>
      <c r="K39" s="21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20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10" t="str">
        <f>IF(D39="","",IF(E38="ND",VLOOKUP(D39,Datenblatt!$A$2:$C$31,3,FALSE)-1,IF(E38="ND12,5",VLOOKUP(D39,Datenblatt!$A$2:$C$31,3,FALSE)-0.5,VLOOKUP(D39,Datenblatt!$A$2:$C$31,3,FALSE))))</f>
        <v/>
      </c>
      <c r="N39" s="211" t="str">
        <f t="shared" si="12"/>
        <v/>
      </c>
      <c r="O39" s="211" t="str">
        <f t="shared" si="13"/>
        <v/>
      </c>
      <c r="P39" s="186">
        <f>IF(D39="",IF($P$46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$46="Freizeit",(-M39-J39+IF(ISNUMBER(N39),(N39*1.5),0)+IF(ISNUMBER(O39),(O39*2),0)+IF(OR(E39="ND",E39="ND12,5"),2,0)),(-M39-J39)),IF($P$46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103" t="str">
        <f>IF(D39="","",VLOOKUP(D39,Datenblatt!$A$2:$D$31,4,FALSE))</f>
        <v/>
      </c>
      <c r="R39" s="104" t="str">
        <f>IF(E39="","",VLOOKUP(E39,Datenblatt!$E$2:$G$28,2,FALSE))</f>
        <v/>
      </c>
      <c r="S39" s="105"/>
      <c r="T39" s="111">
        <f t="shared" si="5"/>
        <v>0</v>
      </c>
      <c r="U39" s="114">
        <f t="array" ref="U39">IF(T38=0,0,IF(AND((ROW(T38)=MATCH(TRUE,($T$1:$T$42)&gt;0,0)),(D38="ND")),IF(T38&lt;3,T38,3),IF(AND(ROW(T38)=MATCH(TRUE,($T$1:$T$42)&gt;0,0),D38="ND12,5"),IF(T38&lt;2.5,T38,2.5),IF(D38="ND12,5",2.5,(T38-V38-W38)))))</f>
        <v>0</v>
      </c>
      <c r="V39" s="112">
        <f t="array" ref="V39">IF(T39=0,0,IF(AND((ROW(T39)=MATCH(TRUE,($T$1:$T$42)&gt;0,0)),(D39="ND")),IF(AND(T39&gt;11,T39&lt;=25),T39-11,0),IF(AND(ROW(T39)=MATCH(TRUE,($T$1:$T$42)&gt;0,0),D39="ND12,5"),IF(AND(T39&gt;10.5,T39&lt;=12.5),T39-10.5,0),IF(D39="ND12,5",2,IF(T39&lt;14,T39,14)))))</f>
        <v>0</v>
      </c>
      <c r="W39" s="112">
        <f t="array" ref="W39">IF(T39=0,0,IF(AND((ROW(T39)=MATCH(TRUE,($T$1:$T$42)&gt;0,0)),(D39="ND")),IF(AND(T39&gt;3,T39&lt;11),T39-3,IF(T39&gt;=11,8,0)),IF(AND((ROW(T39)=MATCH(TRUE,($T$1:$T$42)&gt;0,0)),(D39="ND12,5")),IF(AND(T39&gt;2.5,T39&lt;10.5),T39-2.5,IF(T39&gt;=10.5,8,0)),IF(D39="ND12,5",8,IF(AND(T39&gt;14,T39&lt;22),(T39-V39),IF(T39&gt;=22,8,0))))))</f>
        <v>0</v>
      </c>
      <c r="X39" s="254">
        <f t="array" ref="X39">IF(T39=0,0,IF((AND((ROW(T39)=MATCH(TRUE,($T$1:$T$42)&gt;0,0)))),IF(W39&gt;=6,W39-6,0),IF(W39&gt;=2,2,W39)))</f>
        <v>0</v>
      </c>
      <c r="Y39" s="254">
        <f t="array" ref="Y39">IF(T38=0,0,(IF((AND((ROW(T38)=MATCH(TRUE,($T$1:$T$42)&gt;0,0)))),IF(W38&gt;=6,6,W38),IF(W38&gt;=2,W38-2,0))))</f>
        <v>0</v>
      </c>
      <c r="Z39" s="111" t="str">
        <f t="shared" si="6"/>
        <v/>
      </c>
      <c r="AA39" s="214">
        <f>IF(E38="ND",IF(ISERROR(MATCH(D39,Datenblatt!$L$2:$L$18,0)),3,2),IF(E38="ND12,5",IF(ISERROR(MATCH(D39,Datenblatt!$L$2:$L$18,0)),2.5,2),0))</f>
        <v>0</v>
      </c>
      <c r="AB39" s="214">
        <f>IF((IF(E39="ND",14-IF(D39="",0,VLOOKUP(D39,Datenblatt!$L$2:$M$30,2,FALSE)),IF(E39="ND12,5",2,0)))&lt;0,0,(IF(E39="ND",14-IF(D39="",0,VLOOKUP(D39,Datenblatt!$L$2:$M$30,2,FALSE)),IF(E39="ND12,5",2,0))))</f>
        <v>0</v>
      </c>
      <c r="AC39" s="214">
        <f t="shared" si="14"/>
        <v>0</v>
      </c>
      <c r="AD39" s="214">
        <f t="shared" si="15"/>
        <v>0</v>
      </c>
      <c r="AE39" s="214">
        <f t="shared" si="16"/>
        <v>0</v>
      </c>
      <c r="AF39" s="112">
        <f t="shared" si="17"/>
        <v>0</v>
      </c>
      <c r="AG39" s="112">
        <f t="shared" si="18"/>
        <v>0</v>
      </c>
      <c r="AH39" s="112">
        <f>IF(E39="",0,VLOOKUP(E39,Datenblatt!$E$2:$G$28,3,FALSE))</f>
        <v>0</v>
      </c>
    </row>
    <row r="40" spans="1:34" ht="13" customHeight="1">
      <c r="A40" s="89" t="str">
        <f>IF(ISERROR(VLOOKUP(C40,Datenblatt!$B$84:$B$97,1,FALSE)),"","Ft")</f>
        <v/>
      </c>
      <c r="B40" s="84">
        <f t="shared" si="0"/>
        <v>45349</v>
      </c>
      <c r="C40" s="86">
        <f t="shared" si="4"/>
        <v>45349</v>
      </c>
      <c r="D40" s="67"/>
      <c r="E40" s="67"/>
      <c r="F40" s="68"/>
      <c r="G40" s="69"/>
      <c r="H40" s="68"/>
      <c r="I40" s="68"/>
      <c r="J40" s="99"/>
      <c r="K40" s="21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20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10" t="str">
        <f>IF(D40="","",IF(E39="ND",VLOOKUP(D40,Datenblatt!$A$2:$C$31,3,FALSE)-1,IF(E39="ND12,5",VLOOKUP(D40,Datenblatt!$A$2:$C$31,3,FALSE)-0.5,VLOOKUP(D40,Datenblatt!$A$2:$C$31,3,FALSE))))</f>
        <v/>
      </c>
      <c r="N40" s="211" t="str">
        <f t="shared" si="12"/>
        <v/>
      </c>
      <c r="O40" s="211" t="str">
        <f t="shared" si="13"/>
        <v/>
      </c>
      <c r="P40" s="186">
        <f>IF(D40="",IF($P$46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$46="Freizeit",(-M40-J40+IF(ISNUMBER(N40),(N40*1.5),0)+IF(ISNUMBER(O40),(O40*2),0)+IF(OR(E40="ND",E40="ND12,5"),2,0)),(-M40-J40)),IF($P$46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103" t="str">
        <f>IF(D40="","",VLOOKUP(D40,Datenblatt!$A$2:$D$31,4,FALSE))</f>
        <v/>
      </c>
      <c r="R40" s="104" t="str">
        <f>IF(E40="","",VLOOKUP(E40,Datenblatt!$E$2:$G$28,2,FALSE))</f>
        <v/>
      </c>
      <c r="S40" s="105"/>
      <c r="T40" s="111">
        <f t="shared" si="5"/>
        <v>0</v>
      </c>
      <c r="U40" s="114">
        <f t="array" ref="U40">IF(T39=0,0,IF(AND((ROW(T39)=MATCH(TRUE,($T$1:$T$42)&gt;0,0)),(D39="ND")),IF(T39&lt;3,T39,3),IF(AND(ROW(T39)=MATCH(TRUE,($T$1:$T$42)&gt;0,0),D39="ND12,5"),IF(T39&lt;2.5,T39,2.5),IF(D39="ND12,5",2.5,(T39-V39-W39)))))</f>
        <v>0</v>
      </c>
      <c r="V40" s="112">
        <f t="array" ref="V40">IF(T40=0,0,IF(AND((ROW(T40)=MATCH(TRUE,($T$1:$T$42)&gt;0,0)),(D40="ND")),IF(AND(T40&gt;11,T40&lt;=25),T40-11,0),IF(AND(ROW(T40)=MATCH(TRUE,($T$1:$T$42)&gt;0,0),D40="ND12,5"),IF(AND(T40&gt;10.5,T40&lt;=12.5),T40-10.5,0),IF(D40="ND12,5",2,IF(T40&lt;14,T40,14)))))</f>
        <v>0</v>
      </c>
      <c r="W40" s="112">
        <f t="array" ref="W40">IF(T40=0,0,IF(AND((ROW(T40)=MATCH(TRUE,($T$1:$T$42)&gt;0,0)),(D40="ND")),IF(AND(T40&gt;3,T40&lt;11),T40-3,IF(T40&gt;=11,8,0)),IF(AND((ROW(T40)=MATCH(TRUE,($T$1:$T$42)&gt;0,0)),(D40="ND12,5")),IF(AND(T40&gt;2.5,T40&lt;10.5),T40-2.5,IF(T40&gt;=10.5,8,0)),IF(D40="ND12,5",8,IF(AND(T40&gt;14,T40&lt;22),(T40-V40),IF(T40&gt;=22,8,0))))))</f>
        <v>0</v>
      </c>
      <c r="X40" s="254">
        <f t="array" ref="X40">IF(T40=0,0,IF((AND((ROW(T40)=MATCH(TRUE,($T$1:$T$42)&gt;0,0)))),IF(W40&gt;=6,W40-6,0),IF(W40&gt;=2,2,W40)))</f>
        <v>0</v>
      </c>
      <c r="Y40" s="254">
        <f t="array" ref="Y40">IF(T39=0,0,(IF((AND((ROW(T39)=MATCH(TRUE,($T$1:$T$42)&gt;0,0)))),IF(W39&gt;=6,6,W39),IF(W39&gt;=2,W39-2,0))))</f>
        <v>0</v>
      </c>
      <c r="Z40" s="111" t="str">
        <f t="shared" si="6"/>
        <v/>
      </c>
      <c r="AA40" s="214">
        <f>IF(E39="ND",IF(ISERROR(MATCH(D40,Datenblatt!$L$2:$L$18,0)),3,2),IF(E39="ND12,5",IF(ISERROR(MATCH(D40,Datenblatt!$L$2:$L$18,0)),2.5,2),0))</f>
        <v>0</v>
      </c>
      <c r="AB40" s="214">
        <f>IF((IF(E40="ND",14-IF(D40="",0,VLOOKUP(D40,Datenblatt!$L$2:$M$30,2,FALSE)),IF(E40="ND12,5",2,0)))&lt;0,0,(IF(E40="ND",14-IF(D40="",0,VLOOKUP(D40,Datenblatt!$L$2:$M$30,2,FALSE)),IF(E40="ND12,5",2,0))))</f>
        <v>0</v>
      </c>
      <c r="AC40" s="214">
        <f t="shared" si="14"/>
        <v>0</v>
      </c>
      <c r="AD40" s="214">
        <f t="shared" si="15"/>
        <v>0</v>
      </c>
      <c r="AE40" s="214">
        <f t="shared" si="16"/>
        <v>0</v>
      </c>
      <c r="AF40" s="112">
        <f t="shared" si="17"/>
        <v>0</v>
      </c>
      <c r="AG40" s="112">
        <f t="shared" si="18"/>
        <v>0</v>
      </c>
      <c r="AH40" s="112">
        <f>IF(E40="",0,VLOOKUP(E40,Datenblatt!$E$2:$G$28,3,FALSE))</f>
        <v>0</v>
      </c>
    </row>
    <row r="41" spans="1:34" ht="13" customHeight="1">
      <c r="A41" s="89" t="str">
        <f>IF(ISERROR(VLOOKUP(C41,Datenblatt!$B$84:$B$97,1,FALSE)),"","Ft")</f>
        <v/>
      </c>
      <c r="B41" s="84">
        <f t="shared" si="0"/>
        <v>45350</v>
      </c>
      <c r="C41" s="86">
        <f t="shared" si="4"/>
        <v>45350</v>
      </c>
      <c r="D41" s="67"/>
      <c r="E41" s="67"/>
      <c r="F41" s="68"/>
      <c r="G41" s="69"/>
      <c r="H41" s="68"/>
      <c r="I41" s="68"/>
      <c r="J41" s="99"/>
      <c r="K41" s="21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20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10" t="str">
        <f>IF(D41="","",IF(E40="ND",VLOOKUP(D41,Datenblatt!$A$2:$C$31,3,FALSE)-1,IF(E40="ND12,5",VLOOKUP(D41,Datenblatt!$A$2:$C$31,3,FALSE)-0.5,VLOOKUP(D41,Datenblatt!$A$2:$C$31,3,FALSE))))</f>
        <v/>
      </c>
      <c r="N41" s="211" t="str">
        <f t="shared" si="12"/>
        <v/>
      </c>
      <c r="O41" s="211" t="str">
        <f t="shared" si="13"/>
        <v/>
      </c>
      <c r="P41" s="186">
        <f>IF(D41="",IF($P$46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$46="Freizeit",(-M41-J41+IF(ISNUMBER(N41),(N41*1.5),0)+IF(ISNUMBER(O41),(O41*2),0)+IF(OR(E41="ND",E41="ND12,5"),2,0)),(-M41-J41)),IF($P$46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103" t="str">
        <f>IF(D41="","",VLOOKUP(D41,Datenblatt!$A$2:$D$31,4,FALSE))</f>
        <v/>
      </c>
      <c r="R41" s="104" t="str">
        <f>IF(E41="","",VLOOKUP(E41,Datenblatt!$E$2:$G$28,2,FALSE))</f>
        <v/>
      </c>
      <c r="S41" s="106"/>
      <c r="T41" s="111">
        <f t="shared" si="5"/>
        <v>0</v>
      </c>
      <c r="U41" s="114">
        <f t="array" ref="U41">IF(T40=0,0,IF(AND((ROW(T40)=MATCH(TRUE,($T$1:$T$42)&gt;0,0)),(D40="ND")),IF(T40&lt;3,T40,3),IF(AND(ROW(T40)=MATCH(TRUE,($T$1:$T$42)&gt;0,0),D40="ND12,5"),IF(T40&lt;2.5,T40,2.5),IF(D40="ND12,5",2.5,(T40-V40-W40)))))</f>
        <v>0</v>
      </c>
      <c r="V41" s="112">
        <f t="array" ref="V41">IF(T41=0,0,IF(AND((ROW(T41)=MATCH(TRUE,($T$1:$T$42)&gt;0,0)),(D41="ND")),IF(AND(T41&gt;11,T41&lt;=25),T41-11,0),IF(AND(ROW(T41)=MATCH(TRUE,($T$1:$T$42)&gt;0,0),D41="ND12,5"),IF(AND(T41&gt;10.5,T41&lt;=12.5),T41-10.5,0),IF(D41="ND12,5",2,IF(T41&lt;14,T41,14)))))</f>
        <v>0</v>
      </c>
      <c r="W41" s="112">
        <f t="array" ref="W41">IF(T41=0,0,IF(AND((ROW(T41)=MATCH(TRUE,($T$1:$T$42)&gt;0,0)),(D41="ND")),IF(AND(T41&gt;3,T41&lt;11),T41-3,IF(T41&gt;=11,8,0)),IF(AND((ROW(T41)=MATCH(TRUE,($T$1:$T$42)&gt;0,0)),(D41="ND12,5")),IF(AND(T41&gt;2.5,T41&lt;10.5),T41-2.5,IF(T41&gt;=10.5,8,0)),IF(D41="ND12,5",8,IF(AND(T41&gt;14,T41&lt;22),(T41-V41),IF(T41&gt;=22,8,0))))))</f>
        <v>0</v>
      </c>
      <c r="X41" s="254">
        <f t="array" ref="X41">IF(T41=0,0,IF((AND((ROW(T41)=MATCH(TRUE,($T$1:$T$42)&gt;0,0)))),IF(W41&gt;=6,W41-6,0),IF(W41&gt;=2,2,W41)))</f>
        <v>0</v>
      </c>
      <c r="Y41" s="254">
        <f t="array" ref="Y41">IF(T40=0,0,(IF((AND((ROW(T40)=MATCH(TRUE,($T$1:$T$42)&gt;0,0)))),IF(W40&gt;=6,6,W40),IF(W40&gt;=2,W40-2,0))))</f>
        <v>0</v>
      </c>
      <c r="Z41" s="111" t="str">
        <f t="shared" si="6"/>
        <v/>
      </c>
      <c r="AA41" s="214">
        <f>IF(E40="ND",IF(ISERROR(MATCH(D41,Datenblatt!$L$2:$L$18,0)),3,2),IF(E40="ND12,5",IF(ISERROR(MATCH(D41,Datenblatt!$L$2:$L$18,0)),2.5,2),0))</f>
        <v>0</v>
      </c>
      <c r="AB41" s="214">
        <f>IF((IF(E41="ND",14-IF(D41="",0,VLOOKUP(D41,Datenblatt!$L$2:$M$30,2,FALSE)),IF(E41="ND12,5",2,0)))&lt;0,0,(IF(E41="ND",14-IF(D41="",0,VLOOKUP(D41,Datenblatt!$L$2:$M$30,2,FALSE)),IF(E41="ND12,5",2,0))))</f>
        <v>0</v>
      </c>
      <c r="AC41" s="214">
        <f t="shared" si="14"/>
        <v>0</v>
      </c>
      <c r="AD41" s="214">
        <f t="shared" si="15"/>
        <v>0</v>
      </c>
      <c r="AE41" s="214">
        <f t="shared" si="16"/>
        <v>0</v>
      </c>
      <c r="AF41" s="112">
        <f t="shared" si="17"/>
        <v>0</v>
      </c>
      <c r="AG41" s="112">
        <f t="shared" si="18"/>
        <v>0</v>
      </c>
      <c r="AH41" s="112">
        <f>IF(E41="",0,VLOOKUP(E41,Datenblatt!$E$2:$G$28,3,FALSE))</f>
        <v>0</v>
      </c>
    </row>
    <row r="42" spans="1:34" ht="13" customHeight="1">
      <c r="A42" s="89" t="str">
        <f>IF(ISERROR(VLOOKUP(C42,Datenblatt!$B$84:$B$97,1,FALSE)),"","Ft")</f>
        <v/>
      </c>
      <c r="B42" s="84">
        <f t="shared" si="0"/>
        <v>45351</v>
      </c>
      <c r="C42" s="86">
        <f t="shared" si="4"/>
        <v>45351</v>
      </c>
      <c r="D42" s="67"/>
      <c r="E42" s="67"/>
      <c r="F42" s="68"/>
      <c r="G42" s="69"/>
      <c r="H42" s="68"/>
      <c r="I42" s="68"/>
      <c r="J42" s="99"/>
      <c r="K42" s="21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209" t="str">
        <f>IF(D42="","",IF(OR(E41="ND",E41="ND12,5",E42="ND12,5",E42="ZA",E42="NDG",E42="RG",E42="WR"),0+AE42,IF(OR(D42="U",D42="SU",D42="PK",D42="K",D42="KA"),VLOOKUP(D42,Datenblatt!$A$2:$C$31,2,FALSE),VLOOKUP(D42,Datenblatt!$A$2:$C$31,2,FALSE)-J42-L43)))</f>
        <v/>
      </c>
      <c r="M42" s="210" t="str">
        <f>IF(D42="","",IF(E41="ND",VLOOKUP(D42,Datenblatt!$A$2:$C$31,3,FALSE)-1,IF(E41="ND12,5",VLOOKUP(D42,Datenblatt!$A$2:$C$31,3,FALSE)-0.5,VLOOKUP(D42,Datenblatt!$A$2:$C$31,3,FALSE)-M43)))</f>
        <v/>
      </c>
      <c r="N42" s="211" t="str">
        <f t="shared" si="12"/>
        <v/>
      </c>
      <c r="O42" s="211" t="str">
        <f t="shared" si="13"/>
        <v/>
      </c>
      <c r="P42" s="186">
        <f>IF(D42="",IF($P$46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$46="Freizeit",(-M42-J42+IF(ISNUMBER(N42),(N42*1.5),0)+IF(ISNUMBER(O42),(O42*2),0)+IF(OR(E42="ND",E42="ND12,5"),2,0)),(-M42-J42)),IF($P$46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103" t="str">
        <f>IF(D42="","",VLOOKUP(D42,Datenblatt!$A$2:$D$31,4,FALSE))</f>
        <v/>
      </c>
      <c r="R42" s="104" t="str">
        <f>IF(E42="","",VLOOKUP(E42,Datenblatt!$E$2:$G$28,2,FALSE))</f>
        <v/>
      </c>
      <c r="S42" s="107"/>
      <c r="T42" s="111">
        <f t="shared" si="5"/>
        <v>0</v>
      </c>
      <c r="U42" s="114">
        <f t="array" ref="U42">IF(T41=0,0,IF(AND((ROW(T41)=MATCH(TRUE,($T$1:$T$42)&gt;0,0)),(D41="ND")),IF(T41&lt;3,T41,3),IF(AND(ROW(T41)=MATCH(TRUE,($T$1:$T$42)&gt;0,0),D41="ND12,5"),IF(T41&lt;2.5,T41,2.5),IF(D41="ND12,5",2.5,(T41-V41-W41)))))</f>
        <v>0</v>
      </c>
      <c r="V42" s="112">
        <f t="array" ref="V42">IF(T42=0,0,IF(AND((ROW(T42)=MATCH(TRUE,($T$1:$T$42)&gt;0,0)),(D42="ND")),IF(AND(T42&gt;11,T42&lt;=25),T42-11,0),IF(AND(ROW(T42)=MATCH(TRUE,($T$1:$T$42)&gt;0,0),D42="ND12,5"),IF(AND(T42&gt;10.5,T42&lt;=12.5),T42-10.5,0),IF(D42="ND12,5",2,IF(T42&lt;14,T42,14)))))</f>
        <v>0</v>
      </c>
      <c r="W42" s="112">
        <f t="array" ref="W42">IF(T42=0,0,IF(AND((ROW(T42)=MATCH(TRUE,($T$1:$T$42)&gt;0,0)),(D42="ND")),IF(T42&gt;=2,2,T42),IF(AND((ROW(T42)=MATCH(TRUE,($T$1:$T$42)&gt;0,0)),(D42="ND12,5")),IF(T42&gt;=2,2,T42),IF(D42="ND12,5",2,IF(AND(T42&gt;14,T42&lt;22),(T42-V42),IF(T42&gt;=22,8,0))))))</f>
        <v>0</v>
      </c>
      <c r="X42" s="254">
        <f t="array" ref="X42">IF(T42=0,0,IF((AND((ROW(T42)=MATCH(TRUE,($T$1:$T$42)&gt;0,0)))),IF(W42&gt;=6,W42-6,0),IF(W42&gt;=2,2,W42)))</f>
        <v>0</v>
      </c>
      <c r="Y42" s="254">
        <f t="array" ref="Y42">IF(T41=0,0,(IF((AND((ROW(T41)=MATCH(TRUE,($T$1:$T$42)&gt;0,0)))),IF(W41&gt;=6,6,W41),IF(W41&gt;=2,W41-2,0))))</f>
        <v>0</v>
      </c>
      <c r="Z42" s="111" t="str">
        <f t="shared" si="6"/>
        <v/>
      </c>
      <c r="AA42" s="214">
        <f>IF(E41="ND",IF(ISERROR(MATCH(D42,Datenblatt!$L$2:$L$18,0)),3,2),IF(E41="ND12,5",IF(ISERROR(MATCH(D42,Datenblatt!$L$2:$L$18,0)),2.5,2),0))</f>
        <v>0</v>
      </c>
      <c r="AB42" s="214">
        <f>IF((IF(E42="ND",14-IF(D42="",0,VLOOKUP(D42,Datenblatt!$L$2:$M$30,2,FALSE)),IF(E42="ND12,5",2,0)))&lt;0,0,(IF(E42="ND",14-IF(D42="",0,VLOOKUP(D42,Datenblatt!$L$2:$M$30,2,FALSE)),IF(E42="ND12,5",2,0))))</f>
        <v>0</v>
      </c>
      <c r="AC42" s="214">
        <f t="shared" si="14"/>
        <v>0</v>
      </c>
      <c r="AD42" s="214">
        <f t="shared" si="15"/>
        <v>0</v>
      </c>
      <c r="AE42" s="214">
        <f t="shared" si="16"/>
        <v>0</v>
      </c>
      <c r="AF42" s="112">
        <f t="shared" si="17"/>
        <v>0</v>
      </c>
      <c r="AG42" s="112">
        <f t="shared" si="18"/>
        <v>0</v>
      </c>
      <c r="AH42" s="112">
        <f>IF(E42="",0,VLOOKUP(E42,Datenblatt!$E$2:$G$28,3,FALSE))</f>
        <v>0</v>
      </c>
    </row>
    <row r="43" spans="1:34" ht="13" customHeight="1" thickBot="1">
      <c r="A43" s="89" t="str">
        <f>IF(ISERROR(VLOOKUP(C43,Datenblatt!$B$84:$B$97,1,FALSE)),"","Ft")</f>
        <v/>
      </c>
      <c r="B43" s="153"/>
      <c r="C43" s="150"/>
      <c r="D43" s="150"/>
      <c r="E43" s="150"/>
      <c r="F43" s="150"/>
      <c r="G43" s="150"/>
      <c r="H43" s="150"/>
      <c r="I43" s="150"/>
      <c r="J43" s="154">
        <f>SUM(J14:J42)</f>
        <v>0</v>
      </c>
      <c r="K43" s="213">
        <f>SUM(K14:K42)</f>
        <v>0</v>
      </c>
      <c r="L43" s="172" t="str">
        <f>IF(D42="ND",9,IF(D42="ND12,5",8.5,"0"))</f>
        <v>0</v>
      </c>
      <c r="M43" s="172" t="str">
        <f>IF(D42="ND",9,IF(D42="ND12,5",8.5,"0"))</f>
        <v>0</v>
      </c>
      <c r="N43" s="219">
        <f t="shared" ref="N43:O43" si="19">SUM(N14:N42)</f>
        <v>0</v>
      </c>
      <c r="O43" s="220">
        <f t="shared" si="19"/>
        <v>0</v>
      </c>
      <c r="P43" s="197">
        <f>SUM(P14:P42)</f>
        <v>0</v>
      </c>
      <c r="Q43" s="198"/>
      <c r="R43" s="156"/>
      <c r="S43" s="157"/>
      <c r="T43" s="155"/>
      <c r="U43" s="115"/>
      <c r="V43" s="116"/>
      <c r="W43" s="116"/>
      <c r="X43" s="116"/>
      <c r="Y43" s="116"/>
      <c r="Z43" s="155"/>
      <c r="AA43" s="215"/>
      <c r="AB43" s="215"/>
      <c r="AC43" s="215"/>
      <c r="AD43" s="215"/>
      <c r="AE43" s="215"/>
      <c r="AF43" s="215"/>
      <c r="AG43" s="215"/>
      <c r="AH43" s="215"/>
    </row>
    <row r="44" spans="1:34" s="80" customFormat="1" ht="0.75" customHeight="1" thickBot="1">
      <c r="A44" s="470"/>
      <c r="B44" s="70"/>
      <c r="C44" s="71"/>
      <c r="D44" s="72"/>
      <c r="E44" s="102"/>
      <c r="F44" s="73"/>
      <c r="G44" s="74"/>
      <c r="H44" s="75"/>
      <c r="I44" s="74"/>
      <c r="J44" s="76"/>
      <c r="K44" s="94"/>
      <c r="L44" s="75"/>
      <c r="M44" s="77"/>
      <c r="N44" s="77"/>
      <c r="O44" s="78"/>
      <c r="P44" s="79"/>
      <c r="Q44" s="74"/>
      <c r="R44" s="70"/>
      <c r="T44" s="117"/>
      <c r="U44" s="117"/>
      <c r="V44" s="117"/>
      <c r="W44" s="117"/>
      <c r="X44" s="117"/>
      <c r="Y44" s="117"/>
      <c r="Z44" s="187"/>
      <c r="AA44" s="216"/>
      <c r="AB44" s="216"/>
      <c r="AC44" s="216"/>
      <c r="AD44" s="216"/>
      <c r="AE44" s="216"/>
      <c r="AF44" s="216"/>
      <c r="AG44" s="216"/>
      <c r="AH44" s="216"/>
    </row>
    <row r="45" spans="1:34" s="66" customFormat="1">
      <c r="A45" s="227"/>
      <c r="B45" s="168" t="s">
        <v>147</v>
      </c>
      <c r="C45" s="168"/>
      <c r="D45" s="59"/>
      <c r="E45" s="59"/>
      <c r="F45" s="56"/>
      <c r="G45" s="56"/>
      <c r="H45" s="56"/>
      <c r="I45" s="251"/>
      <c r="J45" s="251"/>
      <c r="K45" s="251"/>
      <c r="L45" s="542" t="s">
        <v>289</v>
      </c>
      <c r="M45" s="542"/>
      <c r="N45" s="542"/>
      <c r="O45" s="543"/>
      <c r="P45" s="201" t="s">
        <v>146</v>
      </c>
      <c r="Q45" s="348">
        <f>IF($P$45="ja",SUMPRODUCT((WEEKDAY($B$14:$B$42,2)=1)*2),0)</f>
        <v>0</v>
      </c>
      <c r="R45" s="158"/>
      <c r="S45" s="171"/>
      <c r="T45" s="118"/>
      <c r="U45" s="118"/>
      <c r="V45" s="118"/>
      <c r="W45" s="118"/>
      <c r="X45" s="118"/>
      <c r="Y45" s="118"/>
      <c r="Z45" s="188"/>
      <c r="AA45" s="217"/>
      <c r="AB45" s="217"/>
      <c r="AC45" s="217"/>
      <c r="AD45" s="217"/>
      <c r="AE45" s="217"/>
      <c r="AF45" s="217"/>
      <c r="AG45" s="217"/>
      <c r="AH45" s="217"/>
    </row>
    <row r="46" spans="1:34" s="66" customFormat="1">
      <c r="A46" s="227"/>
      <c r="B46" s="191" t="str">
        <f>"Verrechnung von Sonderzahlungen, Überstunden, Nachtgutstunden und Nachtdiensten erfolgt im Folgemonat"&amp;" "&amp;Start!$B$17</f>
        <v>Verrechnung von Sonderzahlungen, Überstunden, Nachtgutstunden und Nachtdiensten erfolgt im Folgemonat März</v>
      </c>
      <c r="C46" s="168"/>
      <c r="D46" s="59"/>
      <c r="E46" s="59"/>
      <c r="F46" s="56"/>
      <c r="G46" s="56"/>
      <c r="H46" s="82"/>
      <c r="I46" s="82"/>
      <c r="J46" s="83"/>
      <c r="K46" s="83"/>
      <c r="L46" s="538" t="s">
        <v>290</v>
      </c>
      <c r="M46" s="538"/>
      <c r="N46" s="538"/>
      <c r="O46" s="539"/>
      <c r="P46" s="204" t="s">
        <v>292</v>
      </c>
      <c r="Q46" s="347" t="str">
        <f>IF($P$46="Freizeit","       als Gutstunden abgerechnet","       im Folgemonat ausbezahlt")</f>
        <v xml:space="preserve">       als Gutstunden abgerechnet</v>
      </c>
      <c r="R46" s="203"/>
      <c r="S46" s="192"/>
      <c r="T46" s="118"/>
      <c r="U46" s="118"/>
      <c r="V46" s="118"/>
      <c r="W46" s="118"/>
      <c r="X46" s="118"/>
      <c r="Y46" s="118"/>
      <c r="Z46" s="188"/>
      <c r="AA46" s="217"/>
      <c r="AB46" s="217"/>
      <c r="AC46" s="217"/>
      <c r="AD46" s="217"/>
      <c r="AE46" s="217"/>
      <c r="AF46" s="243"/>
      <c r="AG46" s="243"/>
      <c r="AH46" s="301"/>
    </row>
    <row r="47" spans="1:34" s="66" customFormat="1" ht="15" thickBot="1">
      <c r="A47" s="227"/>
      <c r="B47" s="168"/>
      <c r="C47" s="168"/>
      <c r="D47" s="59"/>
      <c r="E47" s="59"/>
      <c r="F47" s="56"/>
      <c r="G47" s="56"/>
      <c r="H47" s="82"/>
      <c r="I47" s="82"/>
      <c r="J47" s="83"/>
      <c r="K47" s="83"/>
      <c r="L47" s="88"/>
      <c r="M47" s="88"/>
      <c r="N47" s="59"/>
      <c r="O47" s="59"/>
      <c r="P47" s="59"/>
      <c r="S47" s="56"/>
      <c r="T47" s="118"/>
      <c r="U47" s="118"/>
      <c r="V47" s="118"/>
      <c r="W47" s="118"/>
      <c r="X47" s="118"/>
      <c r="Y47" s="118"/>
      <c r="Z47" s="188"/>
      <c r="AA47" s="217"/>
      <c r="AB47" s="217"/>
      <c r="AC47" s="217"/>
      <c r="AD47" s="217"/>
      <c r="AE47" s="217"/>
      <c r="AF47" s="118"/>
      <c r="AG47" s="118"/>
      <c r="AH47" s="301"/>
    </row>
    <row r="48" spans="1:34" s="66" customFormat="1" ht="13.5" hidden="1" customHeight="1" thickBot="1">
      <c r="A48" s="227"/>
      <c r="B48" s="81"/>
      <c r="C48" s="81"/>
      <c r="D48" s="56"/>
      <c r="E48" s="56"/>
      <c r="F48" s="56"/>
      <c r="G48" s="56"/>
      <c r="H48" s="82"/>
      <c r="I48" s="82"/>
      <c r="J48" s="83"/>
      <c r="K48" s="83"/>
      <c r="L48" s="88"/>
      <c r="M48" s="88"/>
      <c r="N48" s="59"/>
      <c r="O48" s="59"/>
      <c r="P48" s="59"/>
      <c r="S48" s="56"/>
      <c r="T48" s="118"/>
      <c r="U48" s="118"/>
      <c r="V48" s="118"/>
      <c r="W48" s="118"/>
      <c r="X48" s="118"/>
      <c r="Y48" s="118"/>
      <c r="Z48" s="118"/>
      <c r="AA48" s="217"/>
      <c r="AB48" s="217"/>
      <c r="AC48" s="217"/>
      <c r="AD48" s="217"/>
      <c r="AE48" s="217"/>
      <c r="AF48" s="118"/>
      <c r="AG48" s="118"/>
      <c r="AH48" s="301"/>
    </row>
    <row r="49" spans="1:34" s="66" customFormat="1" ht="13.5" hidden="1" customHeight="1" thickBot="1">
      <c r="A49" s="227"/>
      <c r="B49" s="81"/>
      <c r="C49" s="81"/>
      <c r="D49" s="56"/>
      <c r="E49" s="56"/>
      <c r="F49" s="56"/>
      <c r="G49" s="56"/>
      <c r="H49" s="82"/>
      <c r="I49" s="82"/>
      <c r="J49" s="83"/>
      <c r="K49" s="83"/>
      <c r="L49" s="88"/>
      <c r="M49" s="88"/>
      <c r="N49" s="59"/>
      <c r="O49" s="59"/>
      <c r="P49" s="59"/>
      <c r="T49" s="118"/>
      <c r="U49" s="118"/>
      <c r="V49" s="118"/>
      <c r="W49" s="118"/>
      <c r="X49" s="118"/>
      <c r="Y49" s="118"/>
      <c r="Z49" s="118"/>
      <c r="AA49" s="217"/>
      <c r="AB49" s="217"/>
      <c r="AC49" s="217"/>
      <c r="AD49" s="217"/>
      <c r="AE49" s="217"/>
      <c r="AF49" s="118"/>
      <c r="AG49" s="118"/>
      <c r="AH49" s="301"/>
    </row>
    <row r="50" spans="1:34" s="59" customFormat="1" ht="13" customHeight="1">
      <c r="A50" s="471"/>
      <c r="B50" s="452" t="s">
        <v>248</v>
      </c>
      <c r="C50" s="608" t="s">
        <v>249</v>
      </c>
      <c r="D50" s="608"/>
      <c r="E50" s="453" t="s">
        <v>412</v>
      </c>
      <c r="F50" s="272"/>
      <c r="G50" s="317" t="s">
        <v>83</v>
      </c>
      <c r="H50" s="318"/>
      <c r="I50" s="322"/>
      <c r="J50" s="322"/>
      <c r="K50" s="322"/>
      <c r="L50" s="319">
        <f>$Q$6</f>
        <v>5365.31</v>
      </c>
      <c r="N50" s="612" t="str">
        <f>"Monatsprofil"&amp;" "&amp;Start!$B$16</f>
        <v>Monatsprofil Februar</v>
      </c>
      <c r="O50" s="613"/>
      <c r="P50" s="614"/>
      <c r="T50" s="242"/>
      <c r="U50" s="242"/>
      <c r="V50" s="242"/>
      <c r="W50" s="242"/>
      <c r="X50" s="242"/>
      <c r="Y50" s="242"/>
      <c r="Z50" s="188"/>
      <c r="AA50" s="217"/>
      <c r="AB50" s="217"/>
      <c r="AC50" s="217"/>
      <c r="AD50" s="217"/>
      <c r="AE50" s="217"/>
      <c r="AF50" s="242"/>
      <c r="AG50" s="242"/>
      <c r="AH50" s="302"/>
    </row>
    <row r="51" spans="1:34" s="89" customFormat="1" ht="13" customHeight="1">
      <c r="A51" s="227"/>
      <c r="B51" s="355">
        <f>COUNTIF($D$14:$E$42,"U")-COUNTIFS($D$14:$D$42,"U",$E$14:$E$42,"K")-COUNTIFS($D$14:$D$42,"U",$E$14:$E$42,"PK")</f>
        <v>0</v>
      </c>
      <c r="C51" s="454" t="s">
        <v>18</v>
      </c>
      <c r="D51" s="455">
        <f>SUMIFS($P$14:$P$42,$D$14:$D$42,"U")+SUMIFS($P$14:$P$42,$E$14:$E$42,"U")</f>
        <v>0</v>
      </c>
      <c r="E51" s="456"/>
      <c r="F51" s="316"/>
      <c r="G51" s="341" t="s">
        <v>354</v>
      </c>
      <c r="H51" s="342"/>
      <c r="I51" s="343"/>
      <c r="J51" s="343"/>
      <c r="K51" s="343"/>
      <c r="L51" s="344">
        <f>IF(OR(Start!$D$8=Gehalt!$K$37,Start!$D$8=Gehalt!$K$39,Start!$D$8=Gehalt!$K$41),Gehalt!$C$29,0)</f>
        <v>0</v>
      </c>
      <c r="N51" s="615"/>
      <c r="O51" s="616"/>
      <c r="P51" s="617"/>
      <c r="T51" s="278" t="s">
        <v>398</v>
      </c>
      <c r="U51" s="119">
        <f>SUMPRODUCT(($U$14:$U$42)*(ISNUMBER(FIND("Ft",$A$14:$A$42))))+SUMPRODUCT((($U$14:$U$42)*1)*(WEEKDAY($B$14:$B$42,2)=7))-SUMPRODUCT((($U$14:$U$42)*1)*(WEEKDAY($B$14:$B$42,2)=7)*(ISNUMBER(FIND("Ft",$A$14:$A$42))))</f>
        <v>0</v>
      </c>
      <c r="V51" s="119">
        <f>SUMPRODUCT(($V$14:$V$42)*(ISNUMBER(FIND("Ft",$A$14:$A$42))))+SUMPRODUCT((($V$14:$V$42)*1)*(WEEKDAY($B$14:$B$42,2)=7))-SUMPRODUCT((($V$14:$V$42)*1)*(WEEKDAY($B$14:$B$42,2)=7)*(ISNUMBER(FIND("Ft",$A$14:$A$42))))</f>
        <v>0</v>
      </c>
      <c r="W51" s="119">
        <f>SUM($W$14:$W$42)</f>
        <v>0</v>
      </c>
      <c r="X51" s="255"/>
      <c r="Y51" s="256"/>
      <c r="Z51" s="278" t="s">
        <v>398</v>
      </c>
      <c r="AA51" s="214">
        <f>SUMPRODUCT(($AA$14:$AA$42)*(ISNUMBER(FIND("Ft",$A$14:$A$42))))+SUMPRODUCT((($AA$14:$AA$42)*1)*(WEEKDAY($B$14:$B$42,2)=7))-SUMPRODUCT((($AA$14:$AA$42)*1)*(WEEKDAY($B$14:$B$42,2)=7)*(ISNUMBER(FIND("Ft",$A$14:$A$42))))</f>
        <v>0</v>
      </c>
      <c r="AB51" s="214">
        <f>SUMPRODUCT(($AB$14:$AB$42)*(ISNUMBER(FIND("Ft",$A$14:$A$42))))+SUMPRODUCT((($AB$14:$AB$42)*1)*(WEEKDAY($B$14:$B$42,2)=7))-SUMPRODUCT((($AB$14:$AB$42)*1)*(WEEKDAY($B$14:$B$42,2)=7)*(ISNUMBER(FIND("Ft",$A$14:$A$42))))</f>
        <v>0</v>
      </c>
      <c r="AC51" s="214">
        <f>SUM($AC$14:$AC$42)</f>
        <v>0</v>
      </c>
      <c r="AD51" s="214">
        <f>SUM($AD$14:$AD$42)</f>
        <v>0</v>
      </c>
      <c r="AE51" s="217"/>
      <c r="AF51" s="188"/>
      <c r="AG51" s="278" t="s">
        <v>398</v>
      </c>
      <c r="AH51" s="214">
        <f>SUMPRODUCT(($AH$14:$AH$42)*(ISNUMBER(FIND("Ft",$A$14:$A$42))))+SUMPRODUCT((($AH$14:$AH$42)*1)*(WEEKDAY($B$14:$B$42,2)=7))-SUMPRODUCT((($AH$14:$AH$42)*1)*(WEEKDAY($B$14:$B$42,2)=7)*(ISNUMBER(FIND("Ft",$A$14:$A$42))))</f>
        <v>0</v>
      </c>
    </row>
    <row r="52" spans="1:34" s="89" customFormat="1" ht="13" customHeight="1">
      <c r="A52" s="227"/>
      <c r="B52" s="355">
        <f>COUNTIF($D$14:$E$42,"ZA")-COUNTIFS($D$14:$D$42,"ZA",$E$14:$E$42,"K")-COUNTIFS($D$14:$D$42,"ZA",$E$14:$E$42,"PK")</f>
        <v>0</v>
      </c>
      <c r="C52" s="454" t="s">
        <v>21</v>
      </c>
      <c r="D52" s="457">
        <f>SUMIFS($P$14:$P$42,$D$14:$D$42,"ZA")+SUMIFS($P$14:$P$42,$E$14:$E$42,"ZA")-$J$43</f>
        <v>0</v>
      </c>
      <c r="E52" s="458">
        <f>IF($P$46="Freizeit",SUM($N$43*1.5,$O$43*2),0)+$J$54*1.5</f>
        <v>0</v>
      </c>
      <c r="F52" s="272"/>
      <c r="G52" s="323" t="str">
        <f>"9545 Nachtdienstpauschale Gesamt ("&amp;""&amp;Gehalt!$D$25&amp;""&amp;"€/h)"</f>
        <v>9545 Nachtdienstpauschale Gesamt (29,44€/h)</v>
      </c>
      <c r="H52" s="151"/>
      <c r="I52" s="151"/>
      <c r="J52" s="151"/>
      <c r="K52" s="264">
        <f>SUM($AF$14:$AG$42)</f>
        <v>0</v>
      </c>
      <c r="L52" s="226">
        <f>$K$52*Gehalt!$D$25</f>
        <v>0</v>
      </c>
      <c r="N52" s="540" t="s">
        <v>237</v>
      </c>
      <c r="O52" s="541"/>
      <c r="P52" s="352">
        <f>VLOOKUP($B$8,Datenblatt!$A$100:$I$112,2,FALSE)</f>
        <v>29</v>
      </c>
      <c r="T52" s="279" t="s">
        <v>104</v>
      </c>
      <c r="U52" s="269">
        <f>SUM($U$14:$U$42)-$U$51</f>
        <v>0</v>
      </c>
      <c r="V52" s="269">
        <f>SUM($V$14:$V$42)-$V$51</f>
        <v>0</v>
      </c>
      <c r="W52" s="257"/>
      <c r="X52" s="265"/>
      <c r="Y52" s="256"/>
      <c r="Z52" s="280" t="s">
        <v>104</v>
      </c>
      <c r="AA52" s="214">
        <f>SUM($AA$14:$AA$42)-$AA$51</f>
        <v>0</v>
      </c>
      <c r="AB52" s="214">
        <f>SUM($AB$14:$AB$42)-$AB$51</f>
        <v>0</v>
      </c>
      <c r="AC52" s="260"/>
      <c r="AD52" s="261"/>
      <c r="AE52" s="217"/>
      <c r="AF52" s="188"/>
      <c r="AG52" s="280" t="s">
        <v>104</v>
      </c>
      <c r="AH52" s="214">
        <f>SUM($AH$14:$AH$42)-$AH$51</f>
        <v>0</v>
      </c>
    </row>
    <row r="53" spans="1:34" s="89" customFormat="1" ht="13" customHeight="1">
      <c r="A53" s="227"/>
      <c r="B53" s="355">
        <f>COUNTIF($D$14:$E$42,"RG")-COUNTIFS($D$14:$D$42,"U",$E$14:$E$42,"RG")-COUNTIFS($D$14:$D$42,"RG",$E$14:$E$42,"PK")</f>
        <v>0</v>
      </c>
      <c r="C53" s="359" t="s">
        <v>132</v>
      </c>
      <c r="D53" s="455">
        <f>SUMIFS($P$14:$P$42,$D$14:$D$42,"RG")+SUMIFS($P$14:$P$42,$E$14:$E$42,"RG")</f>
        <v>0</v>
      </c>
      <c r="E53" s="459">
        <f>$Q$45</f>
        <v>0</v>
      </c>
      <c r="G53" s="323" t="str">
        <f>"9547 Sonn- und Feiertagszulage ("&amp;""&amp;Gehalt!$D$26&amp;""&amp;"€/h)"</f>
        <v>9547 Sonn- und Feiertagszulage (18,5€/h)</v>
      </c>
      <c r="H53" s="151"/>
      <c r="I53" s="151"/>
      <c r="J53" s="151"/>
      <c r="K53" s="22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26">
        <f>$K$53*Gehalt!$D$26</f>
        <v>0</v>
      </c>
      <c r="N53" s="540" t="s">
        <v>238</v>
      </c>
      <c r="O53" s="541"/>
      <c r="P53" s="352">
        <f>VLOOKUP($B$8,Datenblatt!$A$100:$I$112,3,FALSE)</f>
        <v>0</v>
      </c>
      <c r="T53" s="277" t="s">
        <v>399</v>
      </c>
      <c r="U53" s="112">
        <f>SUMPRODUCT(($U$14:$U$42)*(ISNUMBER(FIND("Ft",$A$14:$A$42))))+SUMPRODUCT((($U$14:$U$42)*1)*(WEEKDAY($B$14:$B$42,2)=7))-SUMPRODUCT((($U$14:$U$42)*1)*(WEEKDAY($B$14:$B$42,2)=7)*(ISNUMBER(FIND("Ft",$A$14:$A$42))))</f>
        <v>0</v>
      </c>
      <c r="V53" s="112">
        <f>SUMPRODUCT(($V$14:$V$42)*(ISNUMBER(FIND("Ft",$A$14:$A$42))))+SUMPRODUCT((($V$14:$V$42)*1)*(WEEKDAY($B$14:$B$42,2)=7))-SUMPRODUCT((($V$14:$V$42)*1)*(WEEKDAY($B$14:$B$42,2)=7)*(ISNUMBER(FIND("Ft",$A$14:$A$42))))+IF(SUMIFS($V$14:$V$42,$A$14:$A$42,"HFt")&gt;8,8,(SUMIFS($V$14:$V$42,$A$14:$A$42,"HFt")))</f>
        <v>0</v>
      </c>
      <c r="W53" s="270"/>
      <c r="X53" s="112">
        <f>SUMPRODUCT(($X$14:$X$42)*(ISNUMBER(FIND("Ft",$A$14:$A$42))))+SUMPRODUCT((($X$14:$X$42)*1)*(WEEKDAY($B$14:$B$42,2)=7))-SUMPRODUCT((($X$14:$X$42)*1)*(WEEKDAY($B$14:$B$42,2)=7)*(ISNUMBER(FIND("Ft",$A$14:$A$42))))+IF(SUMIFS($X$14:$X$42,$A$14:$A$42,"HFt")&gt;2,2,(SUMIFS($X$14:$X$42,$A$14:$A$42,"HFt")))</f>
        <v>0</v>
      </c>
      <c r="Y53" s="112">
        <f>SUMPRODUCT(($Y$14:$Y$42)*(ISNUMBER(FIND("Ft",$A$14:$A$42))))+SUMPRODUCT((($Y$14:$Y$42)*1)*(WEEKDAY($B$14:$B$42,2)=7))-SUMPRODUCT((($Y$14:$Y$42)*1)*(WEEKDAY($B$14:$B$42,2)=7)*(ISNUMBER(FIND("Ft",$A$14:$A$42))))</f>
        <v>0</v>
      </c>
      <c r="Z53" s="258"/>
      <c r="AA53" s="258"/>
      <c r="AB53" s="258"/>
      <c r="AC53" s="259"/>
      <c r="AD53" s="259"/>
      <c r="AE53" s="188"/>
      <c r="AF53" s="188"/>
      <c r="AG53" s="188"/>
      <c r="AH53" s="302"/>
    </row>
    <row r="54" spans="1:34" s="89" customFormat="1" ht="13" customHeight="1">
      <c r="A54" s="227"/>
      <c r="B54" s="355">
        <f>COUNTIF($D$14:$E$42,"NDG")-COUNTIFS($D$14:$D$42,"NDG",$E$14:$E$42,"K")-COUNTIFS($D$14:$D$42,"NDG",$E$14:$E$42,"PK")</f>
        <v>0</v>
      </c>
      <c r="C54" s="359" t="s">
        <v>131</v>
      </c>
      <c r="D54" s="455">
        <f>SUMIFS($P$14:$P$42,$D$14:$D$42,"NDG")+SUMIFS($P$14:$P$42,$E$14:$E$42,"NDG")</f>
        <v>0</v>
      </c>
      <c r="E54" s="459">
        <f>$N$6*2-COUNTIFS($D$14:$D$42,"ND",$E$14:$E$42,"K")*2-COUNTIFS($D$14:$D$42,"ND12,5",$E$14:$E$42,"K")*2-COUNTIFS($D$14:$D$42,"ND",$E$13:$E$41,"ND")*2-COUNTIFS($D$14:$D$42,"ND12,5",$E$13:$E$41,"ND")*2-COUNTIFS($D$14:$D$42,"ND",$E$13:$E$41,"ND12,5")*2</f>
        <v>0</v>
      </c>
      <c r="G54" s="609" t="s">
        <v>295</v>
      </c>
      <c r="H54" s="610"/>
      <c r="I54" s="611"/>
      <c r="J54" s="390">
        <v>0</v>
      </c>
      <c r="K54" s="225">
        <f>IF($P$46="finanziell",SUM($L$62),0)+$L$66+$L$70-$J$54</f>
        <v>0</v>
      </c>
      <c r="L54" s="226">
        <f>$K$54*$L$60</f>
        <v>0</v>
      </c>
      <c r="M54" s="56"/>
      <c r="N54" s="540" t="s">
        <v>239</v>
      </c>
      <c r="O54" s="541"/>
      <c r="P54" s="352">
        <f>VLOOKUP($B$8,Datenblatt!$A$100:$I$112,4,FALSE)</f>
        <v>8</v>
      </c>
      <c r="Q54" s="56"/>
      <c r="T54" s="242"/>
      <c r="U54" s="242"/>
      <c r="V54" s="242"/>
      <c r="W54" s="188"/>
      <c r="X54" s="188"/>
      <c r="Y54" s="188"/>
      <c r="Z54" s="242"/>
      <c r="AA54" s="242"/>
      <c r="AB54" s="242"/>
      <c r="AC54" s="188"/>
      <c r="AD54" s="188"/>
      <c r="AE54" s="188"/>
      <c r="AF54" s="188"/>
      <c r="AG54" s="188"/>
      <c r="AH54" s="302"/>
    </row>
    <row r="55" spans="1:34" s="89" customFormat="1" ht="13" customHeight="1">
      <c r="A55" s="227"/>
      <c r="B55" s="460"/>
      <c r="C55" s="359" t="s">
        <v>170</v>
      </c>
      <c r="D55" s="455">
        <f>SUMIFS($M$14:$M$42,$D$14:$D$42,"U")</f>
        <v>0</v>
      </c>
      <c r="E55" s="456"/>
      <c r="G55" s="323" t="s">
        <v>227</v>
      </c>
      <c r="H55" s="151"/>
      <c r="I55" s="151"/>
      <c r="J55" s="151"/>
      <c r="K55" s="225">
        <f>IF($P$46="finanziell",SUM($L$63),0)+$L$71+$L$67</f>
        <v>0</v>
      </c>
      <c r="L55" s="226">
        <f>$K$55*$L$61</f>
        <v>0</v>
      </c>
      <c r="M55" s="59"/>
      <c r="N55" s="540" t="s">
        <v>240</v>
      </c>
      <c r="O55" s="541"/>
      <c r="P55" s="352">
        <f>VLOOKUP($B$8,Datenblatt!$A$100:$I$112,5,FALSE)</f>
        <v>21</v>
      </c>
      <c r="T55" s="242"/>
      <c r="U55" s="242"/>
      <c r="V55" s="242"/>
      <c r="W55" s="188"/>
      <c r="X55" s="188"/>
      <c r="Y55" s="188"/>
      <c r="Z55" s="242"/>
      <c r="AA55" s="242"/>
      <c r="AB55" s="242"/>
      <c r="AC55" s="188"/>
      <c r="AD55" s="188"/>
      <c r="AE55" s="188"/>
      <c r="AF55" s="188"/>
      <c r="AG55" s="188"/>
      <c r="AH55" s="302"/>
    </row>
    <row r="56" spans="1:34" s="89" customFormat="1" ht="13" customHeight="1">
      <c r="A56" s="227"/>
      <c r="B56" s="355">
        <f>COUNTIF($D$14:$E$42,"SU")-COUNTIFS($D$14:$D$42,"SU",$E$14:$E$42,"K")-COUNTIFS($D$14:$D$42,"SU",$E$14:$E$42,"PK")</f>
        <v>0</v>
      </c>
      <c r="C56" s="359" t="s">
        <v>172</v>
      </c>
      <c r="D56" s="455">
        <f>SUMIFS($M$14:$M$42,$D$14:$D$42,"SU")</f>
        <v>0</v>
      </c>
      <c r="E56" s="456"/>
      <c r="G56" s="323" t="s">
        <v>285</v>
      </c>
      <c r="H56" s="151"/>
      <c r="I56" s="151"/>
      <c r="J56" s="151"/>
      <c r="K56" s="394">
        <f ca="1">IF(Jänner!$P$63-SUM(Start!$E$32:$E$35,Start!$E$15:$E$16)*2&lt;=0,0,Jänner!$P$63-SUM(Start!$E$32:$E$35,Start!$E$15:$E$16)*2)</f>
        <v>0</v>
      </c>
      <c r="L56" s="226">
        <f ca="1">$K$56*(ROUNDDOWN((($Q$6-35)/173*1),2))</f>
        <v>0</v>
      </c>
      <c r="N56" s="540" t="s">
        <v>241</v>
      </c>
      <c r="O56" s="541"/>
      <c r="P56" s="352">
        <f>VLOOKUP($B$8,Datenblatt!$A$100:$I$112,7,FALSE)</f>
        <v>21</v>
      </c>
      <c r="T56" s="242"/>
      <c r="U56" s="242"/>
      <c r="V56" s="242"/>
      <c r="W56" s="188"/>
      <c r="X56" s="188"/>
      <c r="Y56" s="188"/>
      <c r="Z56" s="242"/>
      <c r="AA56" s="242"/>
      <c r="AB56" s="242"/>
      <c r="AC56" s="188"/>
      <c r="AD56" s="188"/>
      <c r="AE56" s="188"/>
      <c r="AF56" s="188"/>
      <c r="AG56" s="188"/>
      <c r="AH56" s="302"/>
    </row>
    <row r="57" spans="1:34" s="89" customFormat="1" ht="13" customHeight="1">
      <c r="A57" s="227"/>
      <c r="B57" s="355">
        <f>COUNTIF($D$14:$E$42,"PK")</f>
        <v>0</v>
      </c>
      <c r="C57" s="359" t="s">
        <v>171</v>
      </c>
      <c r="D57" s="455">
        <f>SUMIFS($M$14:$M$42,$D$14:$D$42,"PK")</f>
        <v>0</v>
      </c>
      <c r="E57" s="456"/>
      <c r="G57" s="391" t="s">
        <v>297</v>
      </c>
      <c r="H57" s="392"/>
      <c r="I57" s="392"/>
      <c r="J57" s="151"/>
      <c r="K57" s="225">
        <f>IF(OR(Start!$D$8=Gehalt!$K$37,Start!$D$8=Gehalt!$K$39,Start!$D$8=Gehalt!$K$41),SUMIFS($M$14:$M$42,$Q$14:$Q$42,"=Tagdienst*",$E$14:$E$42,"&lt;&gt;*")+SUMIFS($AH$14:$AH$42,$R$14:$R$42,"=Tagdienst*"),0)</f>
        <v>0</v>
      </c>
      <c r="L57" s="226">
        <f>$K$57*Gehalt!$C$28</f>
        <v>0</v>
      </c>
      <c r="N57" s="540" t="s">
        <v>236</v>
      </c>
      <c r="O57" s="541"/>
      <c r="P57" s="352">
        <f>VLOOKUP($B$8,Datenblatt!$A$100:$I$112,6,FALSE)</f>
        <v>168</v>
      </c>
      <c r="T57" s="242"/>
      <c r="U57" s="242"/>
      <c r="V57" s="242"/>
      <c r="W57" s="188"/>
      <c r="X57" s="188"/>
      <c r="Y57" s="188"/>
      <c r="Z57" s="242"/>
      <c r="AA57" s="242"/>
      <c r="AB57" s="242"/>
      <c r="AC57" s="188"/>
      <c r="AD57" s="188"/>
      <c r="AE57" s="188"/>
      <c r="AF57" s="188"/>
      <c r="AG57" s="188"/>
      <c r="AH57" s="302"/>
    </row>
    <row r="58" spans="1:34" s="89" customFormat="1" ht="13" customHeight="1">
      <c r="A58" s="227"/>
      <c r="B58" s="355">
        <f>COUNTIF($D$14:$E$42,"K")+COUNTIF($D$14:$E$42,"KA")</f>
        <v>0</v>
      </c>
      <c r="C58" s="359" t="s">
        <v>418</v>
      </c>
      <c r="D58" s="455">
        <f>SUMIFS($M$14:$M$42,$D$14:$D$42,"K")+SUMIFS($M$14:$M$42,$D$14:$D$42,"KA")</f>
        <v>0</v>
      </c>
      <c r="E58" s="456"/>
      <c r="G58" s="323" t="s">
        <v>296</v>
      </c>
      <c r="H58" s="151"/>
      <c r="I58" s="151"/>
      <c r="J58" s="393" t="s">
        <v>146</v>
      </c>
      <c r="K58" s="225"/>
      <c r="L58" s="226">
        <f>IF($J$58="ja",Gehalt!$C$27,0)</f>
        <v>0</v>
      </c>
      <c r="N58" s="618" t="str">
        <f>"Stundenkonto Monatsende"&amp;" "&amp;Start!$B$16</f>
        <v>Stundenkonto Monatsende Februar</v>
      </c>
      <c r="O58" s="619"/>
      <c r="P58" s="620"/>
      <c r="T58" s="242"/>
      <c r="U58" s="242"/>
      <c r="V58" s="242"/>
      <c r="W58" s="188"/>
      <c r="X58" s="188"/>
      <c r="Y58" s="188"/>
      <c r="Z58" s="242"/>
      <c r="AA58" s="242"/>
      <c r="AB58" s="242"/>
      <c r="AC58" s="188"/>
      <c r="AD58" s="188"/>
      <c r="AE58" s="188"/>
      <c r="AF58" s="188"/>
      <c r="AG58" s="188"/>
      <c r="AH58" s="302"/>
    </row>
    <row r="59" spans="1:34" s="89" customFormat="1" ht="13" customHeight="1" thickBot="1">
      <c r="A59" s="227"/>
      <c r="B59" s="460"/>
      <c r="C59" s="359" t="s">
        <v>19</v>
      </c>
      <c r="D59" s="455">
        <f>COUNTIF($L$14:$L$42,"n.b.")</f>
        <v>0</v>
      </c>
      <c r="E59" s="456"/>
      <c r="G59" s="229" t="s">
        <v>362</v>
      </c>
      <c r="H59" s="230"/>
      <c r="I59" s="230"/>
      <c r="J59" s="230"/>
      <c r="K59" s="338"/>
      <c r="L59" s="228">
        <f ca="1">SUM(L52:L57)*12%</f>
        <v>0</v>
      </c>
      <c r="N59" s="615"/>
      <c r="O59" s="616"/>
      <c r="P59" s="617"/>
      <c r="T59" s="242"/>
      <c r="U59" s="188"/>
      <c r="V59" s="188"/>
      <c r="W59" s="188"/>
      <c r="X59" s="188"/>
      <c r="Y59" s="188"/>
      <c r="Z59" s="242"/>
      <c r="AA59" s="188"/>
      <c r="AB59" s="188"/>
      <c r="AC59" s="188"/>
      <c r="AD59" s="188"/>
      <c r="AE59" s="188"/>
      <c r="AF59" s="188"/>
      <c r="AG59" s="188"/>
      <c r="AH59" s="302"/>
    </row>
    <row r="60" spans="1:34" s="89" customFormat="1" ht="13" customHeight="1">
      <c r="A60" s="227"/>
      <c r="B60" s="355">
        <f>COUNTIF($D$14:$E$42,"DV")</f>
        <v>0</v>
      </c>
      <c r="C60" s="359" t="s">
        <v>111</v>
      </c>
      <c r="D60" s="455">
        <f>SUMIFS($P$14:$P$42,$D$14:$D$42,"DV")+SUMIFS($P$14:$P$42,$E$14:$E$42,"DV")</f>
        <v>0</v>
      </c>
      <c r="E60" s="456"/>
      <c r="G60" s="238" t="s">
        <v>298</v>
      </c>
      <c r="H60" s="239"/>
      <c r="I60" s="240"/>
      <c r="J60" s="240"/>
      <c r="K60" s="240"/>
      <c r="L60" s="241">
        <f>IF($Q$6="",0,ROUNDDOWN((($Q$6-35)/173*1.5),2))</f>
        <v>46.21</v>
      </c>
      <c r="N60" s="540" t="s">
        <v>234</v>
      </c>
      <c r="O60" s="541"/>
      <c r="P60" s="352">
        <f>Start!$C$30+SUM(Jänner:Februar!$D$51)</f>
        <v>0</v>
      </c>
      <c r="T60" s="244"/>
      <c r="U60" s="188"/>
      <c r="V60" s="188"/>
      <c r="W60" s="188"/>
      <c r="X60" s="188"/>
      <c r="Y60" s="188"/>
      <c r="Z60" s="244"/>
      <c r="AA60" s="188"/>
      <c r="AB60" s="188"/>
      <c r="AC60" s="188"/>
      <c r="AD60" s="188"/>
      <c r="AE60" s="188"/>
      <c r="AF60" s="188"/>
      <c r="AG60" s="188"/>
      <c r="AH60" s="302"/>
    </row>
    <row r="61" spans="1:34" s="89" customFormat="1" ht="13" customHeight="1">
      <c r="A61" s="227"/>
      <c r="B61" s="355">
        <f>COUNTIF($D$14:$E$42,"WR")</f>
        <v>0</v>
      </c>
      <c r="C61" s="359" t="s">
        <v>126</v>
      </c>
      <c r="D61" s="466"/>
      <c r="E61" s="456"/>
      <c r="G61" s="360" t="s">
        <v>400</v>
      </c>
      <c r="H61" s="358"/>
      <c r="I61" s="357"/>
      <c r="J61" s="357"/>
      <c r="K61" s="357"/>
      <c r="L61" s="356">
        <f>IF($Q$6="",0,ROUNDDOWN((($Q$6-35)/173*2),2))</f>
        <v>61.62</v>
      </c>
      <c r="N61" s="540" t="s">
        <v>235</v>
      </c>
      <c r="O61" s="541"/>
      <c r="P61" s="353">
        <f>Start!$C$31+SUM(Jänner:Februar!$D$52)+SUM(Jänner:Februar!$E$52)</f>
        <v>0</v>
      </c>
      <c r="T61" s="244"/>
      <c r="U61" s="188"/>
      <c r="V61" s="188"/>
      <c r="W61" s="188"/>
      <c r="X61" s="188"/>
      <c r="Y61" s="188"/>
      <c r="Z61" s="244"/>
      <c r="AA61" s="188"/>
      <c r="AB61" s="188"/>
      <c r="AC61" s="188"/>
      <c r="AD61" s="188"/>
      <c r="AE61" s="188"/>
      <c r="AF61" s="188"/>
      <c r="AG61" s="188"/>
      <c r="AH61" s="302"/>
    </row>
    <row r="62" spans="1:34" s="59" customFormat="1" ht="13" customHeight="1">
      <c r="A62" s="471"/>
      <c r="B62" s="478"/>
      <c r="C62" s="478"/>
      <c r="D62" s="478"/>
      <c r="E62" s="478"/>
      <c r="G62" s="374" t="s">
        <v>392</v>
      </c>
      <c r="H62" s="375"/>
      <c r="I62" s="125"/>
      <c r="J62" s="125"/>
      <c r="K62" s="125"/>
      <c r="L62" s="376">
        <f>SUM($N$14:$N$42)</f>
        <v>0</v>
      </c>
      <c r="M62" s="89"/>
      <c r="N62" s="540" t="s">
        <v>148</v>
      </c>
      <c r="O62" s="541"/>
      <c r="P62" s="352">
        <f>Start!$C$32+SUM(Jänner:Februar!$D$53)+SUM(Jänner:Februar!$E$53)</f>
        <v>0</v>
      </c>
      <c r="Q62" s="89"/>
      <c r="T62" s="244"/>
      <c r="U62" s="242"/>
      <c r="V62" s="242"/>
      <c r="W62" s="242"/>
      <c r="X62" s="242"/>
      <c r="Y62" s="242"/>
      <c r="Z62" s="244"/>
      <c r="AA62" s="242"/>
      <c r="AB62" s="242"/>
      <c r="AC62" s="242"/>
      <c r="AD62" s="242"/>
      <c r="AE62" s="242"/>
      <c r="AF62" s="242"/>
      <c r="AG62" s="242"/>
      <c r="AH62" s="302"/>
    </row>
    <row r="63" spans="1:34" s="59" customFormat="1" ht="13" customHeight="1">
      <c r="A63" s="471"/>
      <c r="G63" s="374" t="s">
        <v>102</v>
      </c>
      <c r="H63" s="375"/>
      <c r="I63" s="125"/>
      <c r="J63" s="125"/>
      <c r="K63" s="125"/>
      <c r="L63" s="376">
        <f>SUM($O$14:$O$42)</f>
        <v>0</v>
      </c>
      <c r="M63" s="89"/>
      <c r="N63" s="544" t="s">
        <v>166</v>
      </c>
      <c r="O63" s="545"/>
      <c r="P63" s="354">
        <f ca="1">Start!$C$33+SUM(Jänner:Februar!$D$54)+SUM(Jänner:Februar!$E$54)-SUM(Jänner:Februar!$K$56)</f>
        <v>0</v>
      </c>
      <c r="Q63" s="89"/>
      <c r="T63" s="244"/>
      <c r="U63" s="242"/>
      <c r="V63" s="242"/>
      <c r="W63" s="242"/>
      <c r="X63" s="242"/>
      <c r="Y63" s="242"/>
      <c r="Z63" s="244"/>
      <c r="AA63" s="242"/>
      <c r="AB63" s="242"/>
      <c r="AC63" s="242"/>
      <c r="AD63" s="242"/>
      <c r="AE63" s="242"/>
      <c r="AF63" s="242"/>
      <c r="AG63" s="242"/>
      <c r="AH63" s="302"/>
    </row>
    <row r="64" spans="1:34" s="59" customFormat="1" ht="13" customHeight="1">
      <c r="A64" s="471"/>
      <c r="E64" s="140"/>
      <c r="G64" s="374" t="s">
        <v>98</v>
      </c>
      <c r="H64" s="375"/>
      <c r="I64" s="125"/>
      <c r="J64" s="125"/>
      <c r="K64" s="125"/>
      <c r="L64" s="377">
        <f>$L$62*$L$60</f>
        <v>0</v>
      </c>
      <c r="M64" s="89"/>
      <c r="N64" s="546" t="str">
        <f>"Bisheriger Verbrauch"&amp;" "&amp;Start!$D$2</f>
        <v>Bisheriger Verbrauch 2024</v>
      </c>
      <c r="O64" s="547"/>
      <c r="P64" s="548"/>
      <c r="Q64" s="89"/>
      <c r="T64" s="244"/>
      <c r="U64" s="242"/>
      <c r="V64" s="242"/>
      <c r="W64" s="242"/>
      <c r="X64" s="242"/>
      <c r="Y64" s="242"/>
      <c r="Z64" s="244"/>
      <c r="AA64" s="242"/>
      <c r="AB64" s="242"/>
      <c r="AC64" s="242"/>
      <c r="AD64" s="242"/>
      <c r="AE64" s="242"/>
      <c r="AF64" s="242"/>
      <c r="AG64" s="242"/>
      <c r="AH64" s="302"/>
    </row>
    <row r="65" spans="1:34" s="59" customFormat="1" ht="13" customHeight="1">
      <c r="A65" s="471"/>
      <c r="E65" s="140"/>
      <c r="G65" s="267" t="s">
        <v>99</v>
      </c>
      <c r="H65" s="268"/>
      <c r="I65" s="378"/>
      <c r="J65" s="378"/>
      <c r="K65" s="378"/>
      <c r="L65" s="379">
        <f>$L$63*$L$61</f>
        <v>0</v>
      </c>
      <c r="M65" s="89"/>
      <c r="N65" s="549"/>
      <c r="O65" s="550"/>
      <c r="P65" s="551"/>
      <c r="Q65" s="89"/>
      <c r="T65" s="244"/>
      <c r="U65" s="242"/>
      <c r="V65" s="242"/>
      <c r="W65" s="242"/>
      <c r="X65" s="242"/>
      <c r="Y65" s="242"/>
      <c r="Z65" s="244"/>
      <c r="AA65" s="242"/>
      <c r="AB65" s="242"/>
      <c r="AC65" s="242"/>
      <c r="AD65" s="242"/>
      <c r="AE65" s="242"/>
      <c r="AF65" s="242"/>
      <c r="AG65" s="242"/>
      <c r="AH65" s="302"/>
    </row>
    <row r="66" spans="1:34" s="59" customFormat="1" ht="13" customHeight="1">
      <c r="A66" s="471"/>
      <c r="E66" s="140"/>
      <c r="G66" s="380" t="s">
        <v>228</v>
      </c>
      <c r="H66" s="381"/>
      <c r="I66" s="382"/>
      <c r="J66" s="382"/>
      <c r="K66" s="382"/>
      <c r="L66" s="376">
        <f>SUM($U$52:$V$52)+$AH$52</f>
        <v>0</v>
      </c>
      <c r="N66" s="533" t="s">
        <v>234</v>
      </c>
      <c r="O66" s="534"/>
      <c r="P66" s="398">
        <f>SUM(Jänner:Februar!$D$51)</f>
        <v>0</v>
      </c>
      <c r="T66" s="244"/>
      <c r="U66" s="242"/>
      <c r="V66" s="242"/>
      <c r="W66" s="242"/>
      <c r="X66" s="242"/>
      <c r="Y66" s="242"/>
      <c r="Z66" s="244"/>
      <c r="AA66" s="242"/>
      <c r="AB66" s="242"/>
      <c r="AC66" s="242"/>
      <c r="AD66" s="242"/>
      <c r="AE66" s="242"/>
      <c r="AF66" s="242"/>
      <c r="AG66" s="242"/>
      <c r="AH66" s="302"/>
    </row>
    <row r="67" spans="1:34" s="59" customFormat="1" ht="13" customHeight="1">
      <c r="A67" s="471"/>
      <c r="D67" s="140"/>
      <c r="E67" s="140"/>
      <c r="G67" s="380" t="s">
        <v>103</v>
      </c>
      <c r="H67" s="381"/>
      <c r="I67" s="382"/>
      <c r="J67" s="382"/>
      <c r="K67" s="382"/>
      <c r="L67" s="376">
        <f>SUM($U$51:$W$51)+$AH$51</f>
        <v>0</v>
      </c>
      <c r="N67" s="533" t="s">
        <v>235</v>
      </c>
      <c r="O67" s="534"/>
      <c r="P67" s="398">
        <f>SUM(Jänner:Februar!$D$52)</f>
        <v>0</v>
      </c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42"/>
      <c r="AG67" s="242"/>
      <c r="AH67" s="302"/>
    </row>
    <row r="68" spans="1:34" s="59" customFormat="1" ht="13" customHeight="1">
      <c r="A68" s="471"/>
      <c r="D68" s="140"/>
      <c r="E68" s="140"/>
      <c r="G68" s="121" t="s">
        <v>100</v>
      </c>
      <c r="H68" s="122"/>
      <c r="I68" s="125"/>
      <c r="J68" s="125"/>
      <c r="K68" s="125"/>
      <c r="L68" s="377">
        <f>$L$66*$L$60</f>
        <v>0</v>
      </c>
      <c r="N68" s="533" t="s">
        <v>148</v>
      </c>
      <c r="O68" s="534"/>
      <c r="P68" s="398">
        <f>SUM(Jänner:Februar!$D$53)</f>
        <v>0</v>
      </c>
      <c r="T68" s="242"/>
      <c r="U68" s="242"/>
      <c r="V68" s="242"/>
      <c r="W68" s="242"/>
      <c r="X68" s="242"/>
      <c r="Y68" s="242"/>
      <c r="Z68" s="242"/>
      <c r="AA68" s="242"/>
      <c r="AB68" s="242"/>
      <c r="AC68" s="242"/>
      <c r="AD68" s="242"/>
      <c r="AE68" s="242"/>
      <c r="AF68" s="242"/>
      <c r="AG68" s="242"/>
      <c r="AH68" s="302"/>
    </row>
    <row r="69" spans="1:34" s="59" customFormat="1" ht="13" customHeight="1">
      <c r="A69" s="471"/>
      <c r="D69" s="140"/>
      <c r="E69" s="140"/>
      <c r="G69" s="383" t="s">
        <v>101</v>
      </c>
      <c r="H69" s="384"/>
      <c r="I69" s="378"/>
      <c r="J69" s="378"/>
      <c r="K69" s="378"/>
      <c r="L69" s="379">
        <f>$L$67*$L$61</f>
        <v>0</v>
      </c>
      <c r="N69" s="621" t="s">
        <v>166</v>
      </c>
      <c r="O69" s="622"/>
      <c r="P69" s="399">
        <f>SUM(Jänner:Februar!$D$54)</f>
        <v>0</v>
      </c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302"/>
    </row>
    <row r="70" spans="1:34" s="59" customFormat="1" ht="13" customHeight="1">
      <c r="A70" s="471"/>
      <c r="D70" s="140"/>
      <c r="E70" s="140"/>
      <c r="G70" s="374" t="s">
        <v>393</v>
      </c>
      <c r="H70" s="375"/>
      <c r="I70" s="125"/>
      <c r="J70" s="125"/>
      <c r="K70" s="125"/>
      <c r="L70" s="376">
        <f>SUM($AA$52:$AB$52)</f>
        <v>0</v>
      </c>
      <c r="N70" s="604" t="s">
        <v>389</v>
      </c>
      <c r="O70" s="605"/>
      <c r="P70" s="451">
        <f>SUM(Jänner:Februar!$B$56)</f>
        <v>0</v>
      </c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302"/>
    </row>
    <row r="71" spans="1:34" s="59" customFormat="1" ht="13" customHeight="1">
      <c r="A71" s="471"/>
      <c r="D71" s="140"/>
      <c r="E71" s="140"/>
      <c r="G71" s="374" t="s">
        <v>356</v>
      </c>
      <c r="H71" s="375"/>
      <c r="I71" s="125"/>
      <c r="J71" s="125"/>
      <c r="K71" s="125"/>
      <c r="L71" s="376">
        <f>SUM($AA$51:$AD$51)</f>
        <v>0</v>
      </c>
      <c r="N71" s="533" t="s">
        <v>390</v>
      </c>
      <c r="O71" s="534"/>
      <c r="P71" s="398">
        <f>SUM(Jänner:Februar!$B$57)</f>
        <v>0</v>
      </c>
      <c r="T71" s="242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302"/>
    </row>
    <row r="72" spans="1:34" s="59" customFormat="1" ht="13" customHeight="1">
      <c r="A72" s="471"/>
      <c r="D72" s="140"/>
      <c r="E72" s="140"/>
      <c r="G72" s="374" t="s">
        <v>98</v>
      </c>
      <c r="H72" s="375"/>
      <c r="I72" s="125"/>
      <c r="J72" s="125"/>
      <c r="K72" s="125"/>
      <c r="L72" s="377">
        <f>$L$70*$L$60</f>
        <v>0</v>
      </c>
      <c r="N72" s="606" t="s">
        <v>388</v>
      </c>
      <c r="O72" s="607"/>
      <c r="P72" s="450">
        <f>SUM(Jänner:Februar!$B$58)</f>
        <v>0</v>
      </c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302"/>
    </row>
    <row r="73" spans="1:34" s="59" customFormat="1" ht="13" customHeight="1">
      <c r="A73" s="471"/>
      <c r="D73" s="140"/>
      <c r="E73" s="315"/>
      <c r="G73" s="374" t="s">
        <v>99</v>
      </c>
      <c r="H73" s="268"/>
      <c r="I73" s="378"/>
      <c r="J73" s="378"/>
      <c r="K73" s="378"/>
      <c r="L73" s="379">
        <f>$L$71*$L$61</f>
        <v>0</v>
      </c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302"/>
    </row>
    <row r="74" spans="1:34" s="59" customFormat="1" ht="13" customHeight="1">
      <c r="A74" s="471"/>
      <c r="D74" s="140"/>
      <c r="G74" s="388" t="s">
        <v>288</v>
      </c>
      <c r="H74" s="386"/>
      <c r="I74" s="161"/>
      <c r="J74" s="161"/>
      <c r="K74" s="161"/>
      <c r="L74" s="387">
        <f>VLOOKUP($B$8,Datenblatt!$A$100:$F$112,6,FALSE)-SUM($D$55:$D$58)</f>
        <v>168</v>
      </c>
      <c r="T74" s="242"/>
      <c r="U74" s="242"/>
      <c r="V74" s="242"/>
      <c r="W74" s="242"/>
      <c r="X74" s="242"/>
      <c r="Y74" s="242"/>
      <c r="Z74" s="242"/>
      <c r="AA74" s="242"/>
      <c r="AB74" s="242"/>
      <c r="AC74" s="242"/>
      <c r="AD74" s="242"/>
      <c r="AE74" s="242"/>
      <c r="AF74" s="242"/>
      <c r="AG74" s="242"/>
      <c r="AH74" s="302"/>
    </row>
    <row r="75" spans="1:34" s="59" customFormat="1" ht="13" customHeight="1">
      <c r="A75" s="471"/>
      <c r="D75" s="140"/>
      <c r="T75" s="242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242"/>
      <c r="AF75" s="242"/>
      <c r="AG75" s="242"/>
      <c r="AH75" s="302"/>
    </row>
    <row r="76" spans="1:34" s="59" customFormat="1" ht="13" customHeight="1">
      <c r="A76" s="471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302"/>
    </row>
    <row r="77" spans="1:34" s="59" customFormat="1" ht="13" customHeight="1">
      <c r="A77" s="471"/>
      <c r="C77" s="164" t="s">
        <v>243</v>
      </c>
      <c r="D77" s="165"/>
      <c r="E77" s="166"/>
      <c r="F77" s="166"/>
      <c r="G77" s="166"/>
      <c r="H77" s="167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302"/>
    </row>
    <row r="78" spans="1:34" s="59" customFormat="1" ht="13" customHeight="1">
      <c r="A78" s="471"/>
      <c r="C78" s="121" t="s">
        <v>92</v>
      </c>
      <c r="D78" s="122"/>
      <c r="E78" s="123"/>
      <c r="F78" s="123"/>
      <c r="G78" s="123"/>
      <c r="H78" s="124">
        <f>SUMPRODUCT((WEEKDAY($B$13:$B$41,2)=6)*($D$13:$D$41="ND"))-SUMPRODUCT((WEEKDAY($B$13:$B$41,2)=6)*($D$13:$D$41="ND")*($A$13:$A$41="Ft"))</f>
        <v>0</v>
      </c>
      <c r="R78" s="120"/>
      <c r="S78" s="120"/>
      <c r="T78" s="242"/>
      <c r="U78" s="242"/>
      <c r="V78" s="242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  <c r="AH78" s="302"/>
    </row>
    <row r="79" spans="1:34" s="59" customFormat="1" ht="13" customHeight="1">
      <c r="A79" s="471"/>
      <c r="C79" s="121" t="s">
        <v>93</v>
      </c>
      <c r="D79" s="122"/>
      <c r="E79" s="123"/>
      <c r="F79" s="123"/>
      <c r="G79" s="123"/>
      <c r="H79" s="124">
        <f>SUMPRODUCT((WEEKDAY($B$14:$B$42,2)=7)*($D$14:$D$42="ND"))-SUMPRODUCT((WEEKDAY($B$14:$B$42,2)=7)*($D$14:$D$42="ND")*($A$14:$A$42="Ft"))</f>
        <v>0</v>
      </c>
      <c r="R79" s="120"/>
      <c r="S79" s="120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  <c r="AH79" s="302"/>
    </row>
    <row r="80" spans="1:34" s="59" customFormat="1" ht="13" customHeight="1">
      <c r="A80" s="471"/>
      <c r="C80" s="121" t="s">
        <v>94</v>
      </c>
      <c r="D80" s="122"/>
      <c r="E80" s="123"/>
      <c r="F80" s="123"/>
      <c r="G80" s="123"/>
      <c r="H80" s="124">
        <f>SUMPRODUCT(($D$14:$D$42="ND")*($A$14:$A$42="Ft"))</f>
        <v>0</v>
      </c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42"/>
      <c r="AG80" s="242"/>
      <c r="AH80" s="302"/>
    </row>
    <row r="81" spans="1:34" s="59" customFormat="1" ht="13" customHeight="1">
      <c r="A81" s="471"/>
      <c r="C81" s="121" t="s">
        <v>95</v>
      </c>
      <c r="D81" s="122"/>
      <c r="E81" s="125"/>
      <c r="F81" s="125"/>
      <c r="G81" s="125"/>
      <c r="H81" s="124">
        <f>SUMPRODUCT((WEEKDAY($C$13:$C$41,2)=7)*($D$13:$D$41="ND")*($A$14:$A$42="Ft"))-SUMPRODUCT((WEEKDAY($C$13:$C$41,2)=7)*($D$13:$D$41="ND")*($A$13:$A$41="Ft")*($A$14:$A$42="Ft"))</f>
        <v>0</v>
      </c>
      <c r="T81" s="242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  <c r="AH81" s="302"/>
    </row>
    <row r="82" spans="1:34" s="59" customFormat="1" ht="13" customHeight="1">
      <c r="A82" s="471"/>
      <c r="C82" s="121" t="s">
        <v>96</v>
      </c>
      <c r="D82" s="122"/>
      <c r="E82" s="125"/>
      <c r="F82" s="125"/>
      <c r="G82" s="125"/>
      <c r="H82" s="124">
        <f>SUMPRODUCT(($A$13:$A$41="Ft")*($D$13:$D$41="ND")*($A$14:$A$42="Ft"))</f>
        <v>0</v>
      </c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42"/>
      <c r="AG82" s="242"/>
      <c r="AH82" s="302"/>
    </row>
    <row r="83" spans="1:34" s="59" customFormat="1" ht="13" customHeight="1">
      <c r="A83" s="471"/>
      <c r="C83" s="121" t="s">
        <v>97</v>
      </c>
      <c r="D83" s="122"/>
      <c r="E83" s="125"/>
      <c r="F83" s="122"/>
      <c r="G83" s="122"/>
      <c r="H83" s="124">
        <f>SUMPRODUCT(($A$13:$A$41="Ft")*(WEEKDAY($C$14:$C$42,2)=7)*($D$13:$D$41="ND"))-SUMPRODUCT(($A$13:$A$41="Ft")*($A$14:$A$42="Ft")*(WEEKDAY($C$14:$C$42,2)=7)*($D$13:$D$41="ND"))</f>
        <v>0</v>
      </c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302"/>
    </row>
    <row r="84" spans="1:34" s="59" customFormat="1" ht="13" customHeight="1">
      <c r="A84" s="471"/>
      <c r="C84" s="126" t="s">
        <v>152</v>
      </c>
      <c r="D84" s="127"/>
      <c r="E84" s="161"/>
      <c r="F84" s="127"/>
      <c r="G84" s="127"/>
      <c r="H84" s="199">
        <f>SUMPRODUCT(($A$14:$A$42="Ft")*(WEEKDAY($C$13:$C$41,2)&lt;6)*($D$13:$D$41="ND"))-(SUMPRODUCT(($A$14:$A$42="Ft")*($A$13:$A$41="Ft")*(WEEKDAY($C$13:$C$41,2)&lt;6)*($D$13:$D$41="ND")))</f>
        <v>0</v>
      </c>
      <c r="T84" s="242"/>
      <c r="U84" s="242"/>
      <c r="V84" s="242"/>
      <c r="W84" s="242"/>
      <c r="X84" s="242"/>
      <c r="Y84" s="242"/>
      <c r="Z84" s="242"/>
      <c r="AA84" s="242"/>
      <c r="AB84" s="242"/>
      <c r="AC84" s="242"/>
      <c r="AD84" s="242"/>
      <c r="AE84" s="242"/>
      <c r="AF84" s="242"/>
      <c r="AG84" s="242"/>
      <c r="AH84" s="302"/>
    </row>
    <row r="85" spans="1:34" s="59" customFormat="1" ht="13" customHeight="1">
      <c r="A85" s="471"/>
      <c r="C85" s="164" t="s">
        <v>244</v>
      </c>
      <c r="D85" s="165"/>
      <c r="E85" s="166"/>
      <c r="F85" s="166"/>
      <c r="G85" s="166"/>
      <c r="H85" s="167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242"/>
      <c r="AF85" s="242"/>
      <c r="AG85" s="242"/>
      <c r="AH85" s="302"/>
    </row>
    <row r="86" spans="1:34" s="59" customFormat="1" ht="13" customHeight="1">
      <c r="A86" s="471"/>
      <c r="C86" s="267" t="s">
        <v>401</v>
      </c>
      <c r="D86" s="268"/>
      <c r="E86" s="268"/>
      <c r="F86" s="268"/>
      <c r="G86" s="268"/>
      <c r="H86" s="163"/>
      <c r="T86" s="242"/>
      <c r="U86" s="242"/>
      <c r="V86" s="242"/>
      <c r="W86" s="242"/>
      <c r="X86" s="242"/>
      <c r="Y86" s="242"/>
      <c r="Z86" s="242"/>
      <c r="AA86" s="242"/>
      <c r="AB86" s="242"/>
      <c r="AC86" s="242"/>
      <c r="AD86" s="242"/>
      <c r="AE86" s="242"/>
      <c r="AF86" s="242"/>
      <c r="AG86" s="242"/>
      <c r="AH86" s="302"/>
    </row>
    <row r="87" spans="1:34" s="59" customFormat="1" ht="13" customHeight="1">
      <c r="A87" s="471"/>
      <c r="C87" s="121" t="s">
        <v>16</v>
      </c>
      <c r="D87" s="122"/>
      <c r="E87" s="122"/>
      <c r="F87" s="122"/>
      <c r="G87" s="122"/>
      <c r="H87" s="124">
        <f>SUMPRODUCT((WEEKDAY($B$14:$B$42,2)=7)*($D$14:$D$42="TD"))+SUMPRODUCT(($D$14:$D$42="TD")*($A$14:$A$42="Ft"))-SUMPRODUCT((WEEKDAY($B$14:$B$42,2)=7)*($D$14:$D$42="TD")*($A$14:$A$42="Ft"))</f>
        <v>0</v>
      </c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  <c r="AH87" s="302"/>
    </row>
    <row r="88" spans="1:34" s="59" customFormat="1" ht="13" customHeight="1">
      <c r="A88" s="471"/>
      <c r="C88" s="121" t="s">
        <v>225</v>
      </c>
      <c r="D88" s="122"/>
      <c r="E88" s="122"/>
      <c r="F88" s="122"/>
      <c r="G88" s="122"/>
      <c r="H88" s="124">
        <f>SUMPRODUCT((WEEKDAY($B$14:$B$42,2)=7)*($D$14:$D$42="TD5,5"))+SUMPRODUCT(($D$14:$D$42="TD5,5")*($A$14:$A$42="Ft"))-SUMPRODUCT((WEEKDAY($B$14:$B$42,2)=7)*($D$14:$D$42="TD5,5")*($A$14:$A$42="Ft"))</f>
        <v>0</v>
      </c>
      <c r="T88" s="242"/>
      <c r="U88" s="242"/>
      <c r="V88" s="242"/>
      <c r="W88" s="242"/>
      <c r="X88" s="242"/>
      <c r="Y88" s="242"/>
      <c r="Z88" s="242"/>
      <c r="AA88" s="242"/>
      <c r="AB88" s="242"/>
      <c r="AC88" s="242"/>
      <c r="AD88" s="242"/>
      <c r="AE88" s="242"/>
      <c r="AF88" s="242"/>
      <c r="AG88" s="242"/>
      <c r="AH88" s="302"/>
    </row>
    <row r="89" spans="1:34" s="59" customFormat="1" ht="13" customHeight="1">
      <c r="A89" s="471"/>
      <c r="C89" s="121" t="s">
        <v>88</v>
      </c>
      <c r="D89" s="122"/>
      <c r="E89" s="122"/>
      <c r="F89" s="122"/>
      <c r="G89" s="122"/>
      <c r="H89" s="124">
        <f>SUMPRODUCT((WEEKDAY($B$14:$B$42,2)=7)*($D$14:$D$42="TD6"))+SUMPRODUCT(($D$14:$D$42="TD6")*($A$14:$A$42="Ft"))-SUMPRODUCT((WEEKDAY($B$14:$B$42,2)=7)*($D$14:$D$42="TD6")*($A$14:$A$42="Ft"))</f>
        <v>0</v>
      </c>
      <c r="T89" s="242"/>
      <c r="U89" s="242"/>
      <c r="V89" s="242"/>
      <c r="W89" s="242"/>
      <c r="X89" s="242"/>
      <c r="Y89" s="242"/>
      <c r="Z89" s="242"/>
      <c r="AA89" s="242"/>
      <c r="AB89" s="242"/>
      <c r="AC89" s="242"/>
      <c r="AD89" s="242"/>
      <c r="AE89" s="242"/>
      <c r="AF89" s="242"/>
      <c r="AG89" s="242"/>
      <c r="AH89" s="302"/>
    </row>
    <row r="90" spans="1:34" s="59" customFormat="1" ht="13" customHeight="1">
      <c r="A90" s="471"/>
      <c r="C90" s="121" t="s">
        <v>184</v>
      </c>
      <c r="D90" s="122"/>
      <c r="E90" s="122"/>
      <c r="F90" s="122"/>
      <c r="G90" s="122"/>
      <c r="H90" s="124">
        <f>SUMPRODUCT((WEEKDAY($B$14:$B$42,2)=7)*($D$14:$D$42="TD6,25"))+SUMPRODUCT(($D$14:$D$42="TD6,25")*($A$14:$A$42="Ft"))-SUMPRODUCT((WEEKDAY($B$14:$B$42,2)=7)*($D$14:$D$42="TD6,25")*($A$14:$A$42="Ft"))</f>
        <v>0</v>
      </c>
      <c r="T90" s="242"/>
      <c r="U90" s="242"/>
      <c r="V90" s="242"/>
      <c r="W90" s="242"/>
      <c r="X90" s="242"/>
      <c r="Y90" s="242"/>
      <c r="Z90" s="242"/>
      <c r="AA90" s="242"/>
      <c r="AB90" s="242"/>
      <c r="AC90" s="242"/>
      <c r="AD90" s="242"/>
      <c r="AE90" s="242"/>
      <c r="AF90" s="242"/>
      <c r="AG90" s="242"/>
      <c r="AH90" s="302"/>
    </row>
    <row r="91" spans="1:34" s="59" customFormat="1" ht="13" customHeight="1">
      <c r="A91" s="471"/>
      <c r="C91" s="121" t="s">
        <v>209</v>
      </c>
      <c r="D91" s="122"/>
      <c r="E91" s="122"/>
      <c r="F91" s="122"/>
      <c r="G91" s="122"/>
      <c r="H91" s="124">
        <f>SUMPRODUCT((WEEKDAY($B$14:$B$42,2)=7)*($D$14:$D$42="TD6,5"))+SUMPRODUCT(($D$14:$D$42="TD6,5")*($A$14:$A$42="Ft"))-SUMPRODUCT((WEEKDAY($B$14:$B$42,2)=7)*($D$14:$D$42="TD6,5")*($A$14:$A$42="Ft"))</f>
        <v>0</v>
      </c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302"/>
    </row>
    <row r="92" spans="1:34" s="59" customFormat="1" ht="13" customHeight="1">
      <c r="A92" s="471"/>
      <c r="C92" s="121" t="s">
        <v>86</v>
      </c>
      <c r="D92" s="122"/>
      <c r="E92" s="122"/>
      <c r="F92" s="122"/>
      <c r="G92" s="122"/>
      <c r="H92" s="124">
        <f>SUMPRODUCT((WEEKDAY($B$14:$B$42,2)=7)*($D$14:$D$42="TD7"))+SUMPRODUCT(($D$14:$D$42="TD7")*($A$14:$A$42="Ft"))-SUMPRODUCT((WEEKDAY($B$14:$B$42,2)=7)*($D$14:$D$42="TD7")*($A$14:$A$42="Ft"))</f>
        <v>0</v>
      </c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302"/>
    </row>
    <row r="93" spans="1:34" s="59" customFormat="1" ht="13" customHeight="1">
      <c r="A93" s="471"/>
      <c r="C93" s="121" t="s">
        <v>213</v>
      </c>
      <c r="D93" s="122"/>
      <c r="E93" s="122"/>
      <c r="F93" s="122"/>
      <c r="G93" s="122"/>
      <c r="H93" s="124">
        <f>SUMPRODUCT((WEEKDAY($B$14:$B$42,2)=7)*($D$14:$D$42="TD7,5"))+SUMPRODUCT(($D$14:$D$42="TD7,5")*($A$14:$A$42="Ft"))-SUMPRODUCT((WEEKDAY($B$14:$B$42,2)=7)*($D$14:$D$42="TD7,5")*($A$14:$A$42="Ft"))</f>
        <v>0</v>
      </c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302"/>
    </row>
    <row r="94" spans="1:34" s="59" customFormat="1" ht="13" customHeight="1">
      <c r="A94" s="471"/>
      <c r="C94" s="121" t="s">
        <v>71</v>
      </c>
      <c r="D94" s="122"/>
      <c r="E94" s="122"/>
      <c r="F94" s="122"/>
      <c r="G94" s="122"/>
      <c r="H94" s="124">
        <f>SUMPRODUCT((WEEKDAY($B$14:$B$42,2)=7)*($D$14:$D$42="TD8"))+SUMPRODUCT(($D$14:$D$42="TD8")*($A$14:$A$42="Ft"))-SUMPRODUCT((WEEKDAY($B$14:$B$42,2)=7)*($D$14:$D$42="TD8")*($A$14:$A$42="Ft"))</f>
        <v>0</v>
      </c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42"/>
      <c r="AG94" s="242"/>
      <c r="AH94" s="302"/>
    </row>
    <row r="95" spans="1:34" s="59" customFormat="1" ht="13" customHeight="1">
      <c r="A95" s="471"/>
      <c r="C95" s="121" t="s">
        <v>214</v>
      </c>
      <c r="D95" s="122"/>
      <c r="E95" s="122"/>
      <c r="F95" s="122"/>
      <c r="G95" s="122"/>
      <c r="H95" s="124">
        <f>SUMPRODUCT((WEEKDAY($B$14:$B$42,2)=7)*($D$14:$D$42="TD8,5"))+SUMPRODUCT(($D$14:$D$42="TD8,5")*($A$14:$A$42="Ft"))-SUMPRODUCT((WEEKDAY($B$14:$B$42,2)=7)*($D$14:$D$42="TD8,5")*($A$14:$A$42="Ft"))</f>
        <v>0</v>
      </c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302"/>
    </row>
    <row r="96" spans="1:34" ht="13" customHeight="1">
      <c r="C96" s="121" t="s">
        <v>84</v>
      </c>
      <c r="D96" s="122"/>
      <c r="E96" s="122"/>
      <c r="F96" s="122"/>
      <c r="G96" s="122"/>
      <c r="H96" s="124">
        <f>SUMPRODUCT((WEEKDAY($B$14:$B$42,2)=7)*($D$14:$D$42="TD9"))+SUMPRODUCT(($D$14:$D$42="TD9")*($A$14:$A$42="Ft"))-SUMPRODUCT((WEEKDAY($B$14:$B$42,2)=7)*($D$14:$D$42="TD9")*($A$14:$A$42="Ft"))</f>
        <v>0</v>
      </c>
    </row>
    <row r="97" spans="3:8" ht="13" customHeight="1">
      <c r="C97" s="121" t="s">
        <v>215</v>
      </c>
      <c r="D97" s="122"/>
      <c r="E97" s="122"/>
      <c r="F97" s="122"/>
      <c r="G97" s="122"/>
      <c r="H97" s="124">
        <f>SUMPRODUCT((WEEKDAY($B$14:$B$42,2)=7)*($D$14:$D$42="TD9,5"))+SUMPRODUCT(($D$14:$D$42="TD9,5")*($A$14:$A$42="Ft"))-SUMPRODUCT((WEEKDAY($B$14:$B$42,2)=7)*($D$14:$D$42="TD9,5")*($A$14:$A$42="Ft"))</f>
        <v>0</v>
      </c>
    </row>
    <row r="98" spans="3:8" ht="13" customHeight="1">
      <c r="C98" s="121" t="s">
        <v>413</v>
      </c>
      <c r="D98" s="122"/>
      <c r="E98" s="122"/>
      <c r="F98" s="122"/>
      <c r="G98" s="122"/>
      <c r="H98" s="124">
        <f>SUMPRODUCT((WEEKDAY($B$14:$B$42,2)=7)*($D$14:$D$42="TD10"))+SUMPRODUCT(($D$14:$D$42="TD10")*($A$14:$A$42="Ft"))-SUMPRODUCT((WEEKDAY($B$14:$B$42,2)=7)*($D$14:$D$42="TD10")*($A$14:$A$42="Ft"))</f>
        <v>0</v>
      </c>
    </row>
    <row r="99" spans="3:8" ht="13" customHeight="1">
      <c r="C99" s="121" t="s">
        <v>216</v>
      </c>
      <c r="D99" s="122"/>
      <c r="E99" s="122"/>
      <c r="F99" s="122"/>
      <c r="G99" s="122"/>
      <c r="H99" s="124">
        <f>SUMPRODUCT((WEEKDAY($B$14:$B$42,2)=7)*($D$14:$D$42="TD10,5"))+SUMPRODUCT(($D$14:$D$42="TD10,5")*($A$14:$A$42="Ft"))-SUMPRODUCT((WEEKDAY($B$14:$B$42,2)=7)*($D$14:$D$42="TD10,5")*($A$14:$A$42="Ft"))</f>
        <v>0</v>
      </c>
    </row>
    <row r="100" spans="3:8" ht="13" customHeight="1">
      <c r="C100" s="121" t="s">
        <v>217</v>
      </c>
      <c r="D100" s="122"/>
      <c r="E100" s="122"/>
      <c r="F100" s="122"/>
      <c r="G100" s="122"/>
      <c r="H100" s="124">
        <f>SUMPRODUCT((WEEKDAY($B$14:$B$42,2)=7)*($D$14:$D$42="TD11"))+SUMPRODUCT(($D$14:$D$42="TD11")*($A$14:$A$42="Ft"))-SUMPRODUCT((WEEKDAY($B$14:$B$42,2)=7)*($D$14:$D$42="TD11")*($A$14:$A$42="Ft"))</f>
        <v>0</v>
      </c>
    </row>
    <row r="101" spans="3:8" ht="13" customHeight="1">
      <c r="C101" s="121" t="s">
        <v>210</v>
      </c>
      <c r="D101" s="122"/>
      <c r="E101" s="122"/>
      <c r="F101" s="122"/>
      <c r="G101" s="122"/>
      <c r="H101" s="124">
        <f>SUMPRODUCT((WEEKDAY($B$14:$B$42,2)=7)*($D$14:$D$42="TD11,5"))+SUMPRODUCT(($D$14:$D$42="TD11,5")*($A$14:$A$42="Ft"))-SUMPRODUCT((WEEKDAY($B$14:$B$42,2)=7)*($D$14:$D$42="TD11,5")*($A$14:$A$42="Ft"))</f>
        <v>0</v>
      </c>
    </row>
    <row r="102" spans="3:8" ht="13" customHeight="1">
      <c r="C102" s="121" t="s">
        <v>218</v>
      </c>
      <c r="D102" s="122"/>
      <c r="E102" s="122"/>
      <c r="F102" s="122"/>
      <c r="G102" s="122"/>
      <c r="H102" s="124">
        <f>SUMPRODUCT((WEEKDAY($B$14:$B$42,2)=7)*($D$14:$D$42="TD12"))+SUMPRODUCT(($D$14:$D$42="TD12")*($A$14:$A$42="Ft"))-SUMPRODUCT((WEEKDAY($B$14:$B$42,2)=7)*($D$14:$D$42="TD12")*($A$14:$A$42="Ft"))</f>
        <v>0</v>
      </c>
    </row>
    <row r="103" spans="3:8" ht="13" customHeight="1">
      <c r="C103" s="121" t="s">
        <v>119</v>
      </c>
      <c r="D103" s="122"/>
      <c r="E103" s="122"/>
      <c r="F103" s="122"/>
      <c r="G103" s="122"/>
      <c r="H103" s="124">
        <f>SUMPRODUCT((WEEKDAY($B$14:$B$42,2)=7)*($D$14:$D$42="TD12,5"))+SUMPRODUCT(($D$14:$D$42="TD12,5")*($A$14:$A$42="Ft"))-SUMPRODUCT((WEEKDAY($B$14:$B$42,2)=7)*($D$14:$D$42="TD12,5")*($A$14:$A$42="Ft"))</f>
        <v>0</v>
      </c>
    </row>
    <row r="104" spans="3:8" ht="13" customHeight="1">
      <c r="C104" s="262" t="s">
        <v>149</v>
      </c>
      <c r="D104" s="263"/>
      <c r="E104" s="263"/>
      <c r="F104" s="263"/>
      <c r="G104" s="263"/>
      <c r="H104" s="162"/>
    </row>
    <row r="105" spans="3:8" ht="13" customHeight="1">
      <c r="C105" s="121" t="s">
        <v>153</v>
      </c>
      <c r="D105" s="122"/>
      <c r="E105" s="122"/>
      <c r="F105" s="122"/>
      <c r="G105" s="122"/>
      <c r="H105" s="124">
        <f>SUMPRODUCT((WEEKDAY($B$13:$B$41,2)=6)*($D$13:$D$41="ND12,5"))-SUMPRODUCT((WEEKDAY($B$13:$B$41,2)=6)*($D$13:$D$41="ND12,5")*($A$13:$A$41="Ft"))</f>
        <v>0</v>
      </c>
    </row>
    <row r="106" spans="3:8">
      <c r="C106" s="121" t="s">
        <v>150</v>
      </c>
      <c r="D106" s="125"/>
      <c r="E106" s="125"/>
      <c r="F106" s="125"/>
      <c r="G106" s="125"/>
      <c r="H106" s="124">
        <f>SUMPRODUCT((WEEKDAY($B$14:$B$42,2)=7)*($D$14:$D$42="ND12,5"))-SUMPRODUCT((WEEKDAY($B$14:$B$42,2)=7)*($D$14:$D$42="ND12,5")*($A$14:$A$42="Ft"))</f>
        <v>0</v>
      </c>
    </row>
    <row r="107" spans="3:8">
      <c r="C107" s="121" t="s">
        <v>151</v>
      </c>
      <c r="D107" s="125"/>
      <c r="E107" s="125"/>
      <c r="F107" s="125"/>
      <c r="G107" s="125"/>
      <c r="H107" s="124">
        <f>SUMPRODUCT(($D$14:$D$42="ND12,5")*($A$14:$A$42="Ft"))</f>
        <v>0</v>
      </c>
    </row>
    <row r="108" spans="3:8">
      <c r="C108" s="121" t="s">
        <v>155</v>
      </c>
      <c r="D108" s="125"/>
      <c r="E108" s="125"/>
      <c r="F108" s="125"/>
      <c r="G108" s="125"/>
      <c r="H108" s="124">
        <f>SUMPRODUCT((WEEKDAY($C$13:$C$41,2)=7)*($D$13:$D$41="ND12,5")*($A$14:$A$42="Ft"))-SUMPRODUCT((WEEKDAY($C$13:$C$41,2)=7)*($D$13:$D$41="ND12,5")*($A$13:$A$41="Ft")*($A$14:$A$42="Ft"))</f>
        <v>0</v>
      </c>
    </row>
    <row r="109" spans="3:8">
      <c r="C109" s="121" t="s">
        <v>156</v>
      </c>
      <c r="D109" s="125"/>
      <c r="E109" s="125"/>
      <c r="F109" s="125"/>
      <c r="G109" s="125"/>
      <c r="H109" s="124">
        <f>SUMPRODUCT(($A$13:$A$41="Ft")*($D$13:$D$41="ND12,5")*($A$14:$A$42="Ft"))</f>
        <v>0</v>
      </c>
    </row>
    <row r="110" spans="3:8">
      <c r="C110" s="121" t="s">
        <v>157</v>
      </c>
      <c r="D110" s="125"/>
      <c r="E110" s="125"/>
      <c r="F110" s="125"/>
      <c r="G110" s="125"/>
      <c r="H110" s="124">
        <f>SUMPRODUCT(($A$13:$A$41="Ft")*(WEEKDAY($C$14:$C$42,2)=7)*($D$13:$D$41="ND12,5"))-SUMPRODUCT(($A$13:$A$41="Ft")*($A$14:$A$42="Ft")*(WEEKDAY($C$14:$C$42,2)=7)*($D$13:$D$41="ND12,5"))</f>
        <v>0</v>
      </c>
    </row>
    <row r="111" spans="3:8">
      <c r="C111" s="126" t="s">
        <v>154</v>
      </c>
      <c r="D111" s="161"/>
      <c r="E111" s="161"/>
      <c r="F111" s="161"/>
      <c r="G111" s="161"/>
      <c r="H111" s="199">
        <f>SUMPRODUCT(($A$14:$A$42="Ft")*(WEEKDAY($C$13:$C$41,2)&lt;6)*($D$13:$D$41="ND12,5"))-(SUMPRODUCT(($A$14:$A$42="Ft")*($A$13:$A$41="Ft")*(WEEKDAY($C$13:$C$41,2)&lt;6)*($D$13:$D$41="ND12,5")))</f>
        <v>0</v>
      </c>
    </row>
  </sheetData>
  <sheetProtection algorithmName="SHA-512" hashValue="mRCH1NW8zokzjn1fOuV5h6FZdlbCANoGKi32GPKzF5sciL/OeA8IapQ5ga1/zpIGL0C1oUiPer788SCbm9fqVw==" saltValue="bKp2Z9rEsCXB3fwE275/fQ==" spinCount="100000" sheet="1" selectLockedCells="1"/>
  <mergeCells count="63">
    <mergeCell ref="N70:O70"/>
    <mergeCell ref="N71:O71"/>
    <mergeCell ref="N72:O72"/>
    <mergeCell ref="L45:O45"/>
    <mergeCell ref="L46:O46"/>
    <mergeCell ref="N69:O69"/>
    <mergeCell ref="N67:O67"/>
    <mergeCell ref="N68:O68"/>
    <mergeCell ref="N64:P65"/>
    <mergeCell ref="N66:O66"/>
    <mergeCell ref="N63:O63"/>
    <mergeCell ref="N13:O13"/>
    <mergeCell ref="J9:J11"/>
    <mergeCell ref="B9:C11"/>
    <mergeCell ref="D9:D11"/>
    <mergeCell ref="N8:P8"/>
    <mergeCell ref="B8:C8"/>
    <mergeCell ref="K8:M8"/>
    <mergeCell ref="H9:I10"/>
    <mergeCell ref="K9:K11"/>
    <mergeCell ref="L9:L11"/>
    <mergeCell ref="M9:M11"/>
    <mergeCell ref="E8:G8"/>
    <mergeCell ref="H8:J8"/>
    <mergeCell ref="E9:E11"/>
    <mergeCell ref="N9:N11"/>
    <mergeCell ref="F9:G10"/>
    <mergeCell ref="E7:G7"/>
    <mergeCell ref="H7:J7"/>
    <mergeCell ref="B6:E6"/>
    <mergeCell ref="B3:J4"/>
    <mergeCell ref="N5:P5"/>
    <mergeCell ref="K5:M5"/>
    <mergeCell ref="B5:E5"/>
    <mergeCell ref="F5:J5"/>
    <mergeCell ref="F6:J6"/>
    <mergeCell ref="N6:P6"/>
    <mergeCell ref="K7:M7"/>
    <mergeCell ref="N7:P7"/>
    <mergeCell ref="B7:C7"/>
    <mergeCell ref="K6:M6"/>
    <mergeCell ref="C50:D50"/>
    <mergeCell ref="N50:P51"/>
    <mergeCell ref="N62:O62"/>
    <mergeCell ref="N52:O52"/>
    <mergeCell ref="N53:O53"/>
    <mergeCell ref="N54:O54"/>
    <mergeCell ref="N58:P59"/>
    <mergeCell ref="N61:O61"/>
    <mergeCell ref="G54:I54"/>
    <mergeCell ref="N60:O60"/>
    <mergeCell ref="N55:O55"/>
    <mergeCell ref="N56:O56"/>
    <mergeCell ref="N57:O57"/>
    <mergeCell ref="AG10:AG11"/>
    <mergeCell ref="S9:S11"/>
    <mergeCell ref="P9:P11"/>
    <mergeCell ref="O9:O11"/>
    <mergeCell ref="Q9:Q11"/>
    <mergeCell ref="R9:R11"/>
    <mergeCell ref="AF10:AF11"/>
    <mergeCell ref="U10:Y10"/>
    <mergeCell ref="AA10:AE10"/>
  </mergeCells>
  <conditionalFormatting sqref="A13:A43">
    <cfRule type="cellIs" dxfId="440" priority="2" operator="equal">
      <formula>"HFT"</formula>
    </cfRule>
    <cfRule type="cellIs" dxfId="439" priority="3" operator="equal">
      <formula>"FT"</formula>
    </cfRule>
  </conditionalFormatting>
  <conditionalFormatting sqref="B28">
    <cfRule type="expression" priority="83">
      <formula>#REF!&gt;72</formula>
    </cfRule>
  </conditionalFormatting>
  <conditionalFormatting sqref="B13:C42">
    <cfRule type="expression" dxfId="437" priority="118">
      <formula>WEEKDAY($C13,2)&gt;5</formula>
    </cfRule>
  </conditionalFormatting>
  <conditionalFormatting sqref="E8">
    <cfRule type="cellIs" dxfId="436" priority="34" operator="greaterThan">
      <formula>48</formula>
    </cfRule>
  </conditionalFormatting>
  <conditionalFormatting sqref="I45:K45">
    <cfRule type="cellIs" dxfId="435" priority="72" operator="equal">
      <formula>"Wochenarbeitszeit überschritten"</formula>
    </cfRule>
  </conditionalFormatting>
  <conditionalFormatting sqref="J43:P43">
    <cfRule type="cellIs" dxfId="434" priority="91" operator="equal">
      <formula>0</formula>
    </cfRule>
  </conditionalFormatting>
  <conditionalFormatting sqref="K8">
    <cfRule type="cellIs" dxfId="433" priority="103" operator="equal">
      <formula>$N$8</formula>
    </cfRule>
    <cfRule type="cellIs" dxfId="432" priority="105" operator="lessThan">
      <formula>$N$8</formula>
    </cfRule>
    <cfRule type="cellIs" dxfId="431" priority="104" operator="greaterThan">
      <formula>$N$8</formula>
    </cfRule>
  </conditionalFormatting>
  <conditionalFormatting sqref="K14:K42">
    <cfRule type="cellIs" dxfId="430" priority="22" operator="lessThanOrEqual">
      <formula>0</formula>
    </cfRule>
    <cfRule type="cellIs" dxfId="429" priority="23" operator="greaterThan">
      <formula>0</formula>
    </cfRule>
  </conditionalFormatting>
  <conditionalFormatting sqref="K43">
    <cfRule type="cellIs" dxfId="428" priority="112" operator="lessThan">
      <formula>0</formula>
    </cfRule>
  </conditionalFormatting>
  <conditionalFormatting sqref="P13">
    <cfRule type="cellIs" dxfId="427" priority="106" operator="equal">
      <formula>0</formula>
    </cfRule>
  </conditionalFormatting>
  <conditionalFormatting sqref="P60:P63">
    <cfRule type="cellIs" dxfId="426" priority="48" operator="lessThan">
      <formula>0</formula>
    </cfRule>
  </conditionalFormatting>
  <conditionalFormatting sqref="Q45">
    <cfRule type="cellIs" dxfId="425" priority="37" operator="equal">
      <formula>0</formula>
    </cfRule>
  </conditionalFormatting>
  <conditionalFormatting sqref="T51:W51">
    <cfRule type="cellIs" dxfId="424" priority="19" operator="equal">
      <formula>0</formula>
    </cfRule>
  </conditionalFormatting>
  <conditionalFormatting sqref="T43:AH43">
    <cfRule type="cellIs" dxfId="423" priority="43" operator="equal">
      <formula>0</formula>
    </cfRule>
  </conditionalFormatting>
  <conditionalFormatting sqref="U51:Y53">
    <cfRule type="cellIs" dxfId="422" priority="9" operator="equal">
      <formula>0</formula>
    </cfRule>
  </conditionalFormatting>
  <conditionalFormatting sqref="U19:AH42">
    <cfRule type="cellIs" dxfId="421" priority="97" operator="equal">
      <formula>0</formula>
    </cfRule>
  </conditionalFormatting>
  <conditionalFormatting sqref="V14">
    <cfRule type="cellIs" dxfId="420" priority="115" operator="equal">
      <formula>0</formula>
    </cfRule>
  </conditionalFormatting>
  <conditionalFormatting sqref="V13:Z13">
    <cfRule type="cellIs" dxfId="419" priority="68" operator="equal">
      <formula>0</formula>
    </cfRule>
  </conditionalFormatting>
  <conditionalFormatting sqref="W52">
    <cfRule type="cellIs" dxfId="418" priority="13" operator="equal">
      <formula>0</formula>
    </cfRule>
  </conditionalFormatting>
  <conditionalFormatting sqref="X14:AH18 N14:P42 T14:T42 U15:W18">
    <cfRule type="cellIs" dxfId="417" priority="116" operator="equal">
      <formula>0</formula>
    </cfRule>
  </conditionalFormatting>
  <conditionalFormatting sqref="Z51:AC51">
    <cfRule type="cellIs" dxfId="416" priority="17" operator="equal">
      <formula>0</formula>
    </cfRule>
  </conditionalFormatting>
  <conditionalFormatting sqref="AA51:AE52">
    <cfRule type="cellIs" dxfId="415" priority="14" operator="equal">
      <formula>0</formula>
    </cfRule>
  </conditionalFormatting>
  <conditionalFormatting sqref="AC13:AG13">
    <cfRule type="cellIs" dxfId="414" priority="61" operator="equal">
      <formula>0</formula>
    </cfRule>
  </conditionalFormatting>
  <conditionalFormatting sqref="AG51:AH51">
    <cfRule type="cellIs" dxfId="413" priority="8" operator="equal">
      <formula>0</formula>
    </cfRule>
  </conditionalFormatting>
  <conditionalFormatting sqref="AH51:AH52">
    <cfRule type="cellIs" dxfId="412" priority="6" operator="equal">
      <formula>0</formula>
    </cfRule>
  </conditionalFormatting>
  <dataValidations count="4">
    <dataValidation type="decimal" allowBlank="1" showInputMessage="1" showErrorMessage="1" error="Die ausgewählte Stundenanzahl steht nicht zur Verfügung!" sqref="J54" xr:uid="{00000000-0002-0000-0400-000003000000}">
      <formula1>0</formula1>
      <formula2>K54</formula2>
    </dataValidation>
    <dataValidation type="list" allowBlank="1" showInputMessage="1" showErrorMessage="1" sqref="J14:J42" xr:uid="{467EAF89-8C05-4A60-9D63-8CC1B9095305}">
      <formula1>AbwesenheitenStunden</formula1>
    </dataValidation>
    <dataValidation type="list" allowBlank="1" showInputMessage="1" showErrorMessage="1" error="Die Eingabe ist unzulässig_x000a_Bitte Drop Down Felder verwenden" sqref="F14:G42" xr:uid="{5336DD15-3CE5-4AAA-B724-E06E92A761D3}">
      <formula1>Zeiten1</formula1>
    </dataValidation>
    <dataValidation type="list" allowBlank="1" showInputMessage="1" showErrorMessage="1" sqref="H14:I42" xr:uid="{DB06F27E-6A69-4E69-BA77-F79CDCBC5B51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landscape" horizontalDpi="1200" verticalDpi="1200" r:id="rId1"/>
  <ignoredErrors>
    <ignoredError sqref="U52" formula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9" id="{8993C561-9BC5-4482-925A-2E25A80C938E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400-000007000000}">
          <x14:formula1>
            <xm:f>Datenblatt!$A$31:$A$51</xm:f>
          </x14:formula1>
          <xm:sqref>A44 AF46:AG46 L44:XFD44</xm:sqref>
        </x14:dataValidation>
        <x14:dataValidation type="list" allowBlank="1" showInputMessage="1" showErrorMessage="1" xr:uid="{00000000-0002-0000-0400-000008000000}">
          <x14:formula1>
            <xm:f>Datenblatt!$D$52:$D$53</xm:f>
          </x14:formula1>
          <xm:sqref>P46</xm:sqref>
        </x14:dataValidation>
        <x14:dataValidation type="list" allowBlank="1" showInputMessage="1" showErrorMessage="1" xr:uid="{9192DF70-C825-401A-B8DA-596F47AD1D81}">
          <x14:formula1>
            <xm:f>Datenblatt!$D$58:$D$59</xm:f>
          </x14:formula1>
          <xm:sqref>P45 J58</xm:sqref>
        </x14:dataValidation>
        <x14:dataValidation type="list" allowBlank="1" showInputMessage="1" showErrorMessage="1" xr:uid="{F71D1899-B5D8-4277-9DD3-AA607119BB3F}">
          <x14:formula1>
            <xm:f>IF((WEEKDAY(C14,2)&gt;=6),SF,IF((COUNTIF(Datenblatt!$B$84:$B$97,C14)=1),SF,IF(OR(D14="U",D14="ZA",D14="NDG",D14="SU",D14="PK",D14="RG",D14="Z0",D14="K",D14="WR"),SF,SpA)))</xm:f>
          </x14:formula1>
          <xm:sqref>E14:E42</xm:sqref>
        </x14:dataValidation>
        <x14:dataValidation type="list" allowBlank="1" showInputMessage="1" showErrorMessage="1" xr:uid="{72B52CCE-B93A-477A-AC97-7A0A3DE2D4D1}">
          <x14:formula1>
            <xm:f>IF((WEEKDAY(C14,2)&gt;=6),SF,IF((COUNTIF(Datenblatt!$B$84:$C$97,C14)=1),SF,Tagespräsenz))</xm:f>
          </x14:formula1>
          <xm:sqref>D14:D42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71" customWidth="1"/>
    <col min="2" max="2" width="3.1640625" style="56" customWidth="1"/>
    <col min="3" max="3" width="8.83203125" style="56" customWidth="1"/>
    <col min="4" max="5" width="9.83203125" style="56" customWidth="1"/>
    <col min="6" max="10" width="9.1640625" style="56" customWidth="1"/>
    <col min="11" max="16" width="8.83203125" style="56" customWidth="1"/>
    <col min="17" max="17" width="23.5" style="66" customWidth="1"/>
    <col min="18" max="18" width="36.5" style="66" customWidth="1"/>
    <col min="19" max="19" width="43.5" style="56" customWidth="1"/>
    <col min="20" max="33" width="7.1640625" style="234" customWidth="1"/>
    <col min="34" max="34" width="7.1640625" style="301" customWidth="1"/>
    <col min="35" max="264" width="11.5" style="56"/>
    <col min="265" max="265" width="0.5" style="56" customWidth="1"/>
    <col min="266" max="266" width="3.1640625" style="56" customWidth="1"/>
    <col min="267" max="267" width="8.83203125" style="56" customWidth="1"/>
    <col min="268" max="268" width="14.83203125" style="56" customWidth="1"/>
    <col min="269" max="270" width="6.5" style="56" customWidth="1"/>
    <col min="271" max="271" width="14.83203125" style="56" customWidth="1"/>
    <col min="272" max="273" width="11.5" style="56" customWidth="1"/>
    <col min="274" max="274" width="6.1640625" style="56" customWidth="1"/>
    <col min="275" max="275" width="22.83203125" style="56" customWidth="1"/>
    <col min="276" max="276" width="11.5" style="56" customWidth="1"/>
    <col min="277" max="277" width="13.83203125" style="56" customWidth="1"/>
    <col min="278" max="278" width="5.83203125" style="56" customWidth="1"/>
    <col min="279" max="279" width="15.5" style="56" customWidth="1"/>
    <col min="280" max="520" width="11.5" style="56"/>
    <col min="521" max="521" width="0.5" style="56" customWidth="1"/>
    <col min="522" max="522" width="3.1640625" style="56" customWidth="1"/>
    <col min="523" max="523" width="8.83203125" style="56" customWidth="1"/>
    <col min="524" max="524" width="14.83203125" style="56" customWidth="1"/>
    <col min="525" max="526" width="6.5" style="56" customWidth="1"/>
    <col min="527" max="527" width="14.83203125" style="56" customWidth="1"/>
    <col min="528" max="529" width="11.5" style="56" customWidth="1"/>
    <col min="530" max="530" width="6.1640625" style="56" customWidth="1"/>
    <col min="531" max="531" width="22.83203125" style="56" customWidth="1"/>
    <col min="532" max="532" width="11.5" style="56" customWidth="1"/>
    <col min="533" max="533" width="13.83203125" style="56" customWidth="1"/>
    <col min="534" max="534" width="5.83203125" style="56" customWidth="1"/>
    <col min="535" max="535" width="15.5" style="56" customWidth="1"/>
    <col min="536" max="776" width="11.5" style="56"/>
    <col min="777" max="777" width="0.5" style="56" customWidth="1"/>
    <col min="778" max="778" width="3.1640625" style="56" customWidth="1"/>
    <col min="779" max="779" width="8.83203125" style="56" customWidth="1"/>
    <col min="780" max="780" width="14.83203125" style="56" customWidth="1"/>
    <col min="781" max="782" width="6.5" style="56" customWidth="1"/>
    <col min="783" max="783" width="14.83203125" style="56" customWidth="1"/>
    <col min="784" max="785" width="11.5" style="56" customWidth="1"/>
    <col min="786" max="786" width="6.1640625" style="56" customWidth="1"/>
    <col min="787" max="787" width="22.83203125" style="56" customWidth="1"/>
    <col min="788" max="788" width="11.5" style="56" customWidth="1"/>
    <col min="789" max="789" width="13.83203125" style="56" customWidth="1"/>
    <col min="790" max="790" width="5.83203125" style="56" customWidth="1"/>
    <col min="791" max="791" width="15.5" style="56" customWidth="1"/>
    <col min="792" max="1032" width="11.5" style="56"/>
    <col min="1033" max="1033" width="0.5" style="56" customWidth="1"/>
    <col min="1034" max="1034" width="3.1640625" style="56" customWidth="1"/>
    <col min="1035" max="1035" width="8.83203125" style="56" customWidth="1"/>
    <col min="1036" max="1036" width="14.83203125" style="56" customWidth="1"/>
    <col min="1037" max="1038" width="6.5" style="56" customWidth="1"/>
    <col min="1039" max="1039" width="14.83203125" style="56" customWidth="1"/>
    <col min="1040" max="1041" width="11.5" style="56" customWidth="1"/>
    <col min="1042" max="1042" width="6.1640625" style="56" customWidth="1"/>
    <col min="1043" max="1043" width="22.83203125" style="56" customWidth="1"/>
    <col min="1044" max="1044" width="11.5" style="56" customWidth="1"/>
    <col min="1045" max="1045" width="13.83203125" style="56" customWidth="1"/>
    <col min="1046" max="1046" width="5.83203125" style="56" customWidth="1"/>
    <col min="1047" max="1047" width="15.5" style="56" customWidth="1"/>
    <col min="1048" max="1288" width="11.5" style="56"/>
    <col min="1289" max="1289" width="0.5" style="56" customWidth="1"/>
    <col min="1290" max="1290" width="3.1640625" style="56" customWidth="1"/>
    <col min="1291" max="1291" width="8.83203125" style="56" customWidth="1"/>
    <col min="1292" max="1292" width="14.83203125" style="56" customWidth="1"/>
    <col min="1293" max="1294" width="6.5" style="56" customWidth="1"/>
    <col min="1295" max="1295" width="14.83203125" style="56" customWidth="1"/>
    <col min="1296" max="1297" width="11.5" style="56" customWidth="1"/>
    <col min="1298" max="1298" width="6.1640625" style="56" customWidth="1"/>
    <col min="1299" max="1299" width="22.83203125" style="56" customWidth="1"/>
    <col min="1300" max="1300" width="11.5" style="56" customWidth="1"/>
    <col min="1301" max="1301" width="13.83203125" style="56" customWidth="1"/>
    <col min="1302" max="1302" width="5.83203125" style="56" customWidth="1"/>
    <col min="1303" max="1303" width="15.5" style="56" customWidth="1"/>
    <col min="1304" max="1544" width="11.5" style="56"/>
    <col min="1545" max="1545" width="0.5" style="56" customWidth="1"/>
    <col min="1546" max="1546" width="3.1640625" style="56" customWidth="1"/>
    <col min="1547" max="1547" width="8.83203125" style="56" customWidth="1"/>
    <col min="1548" max="1548" width="14.83203125" style="56" customWidth="1"/>
    <col min="1549" max="1550" width="6.5" style="56" customWidth="1"/>
    <col min="1551" max="1551" width="14.83203125" style="56" customWidth="1"/>
    <col min="1552" max="1553" width="11.5" style="56" customWidth="1"/>
    <col min="1554" max="1554" width="6.1640625" style="56" customWidth="1"/>
    <col min="1555" max="1555" width="22.83203125" style="56" customWidth="1"/>
    <col min="1556" max="1556" width="11.5" style="56" customWidth="1"/>
    <col min="1557" max="1557" width="13.83203125" style="56" customWidth="1"/>
    <col min="1558" max="1558" width="5.83203125" style="56" customWidth="1"/>
    <col min="1559" max="1559" width="15.5" style="56" customWidth="1"/>
    <col min="1560" max="1800" width="11.5" style="56"/>
    <col min="1801" max="1801" width="0.5" style="56" customWidth="1"/>
    <col min="1802" max="1802" width="3.1640625" style="56" customWidth="1"/>
    <col min="1803" max="1803" width="8.83203125" style="56" customWidth="1"/>
    <col min="1804" max="1804" width="14.83203125" style="56" customWidth="1"/>
    <col min="1805" max="1806" width="6.5" style="56" customWidth="1"/>
    <col min="1807" max="1807" width="14.83203125" style="56" customWidth="1"/>
    <col min="1808" max="1809" width="11.5" style="56" customWidth="1"/>
    <col min="1810" max="1810" width="6.1640625" style="56" customWidth="1"/>
    <col min="1811" max="1811" width="22.83203125" style="56" customWidth="1"/>
    <col min="1812" max="1812" width="11.5" style="56" customWidth="1"/>
    <col min="1813" max="1813" width="13.83203125" style="56" customWidth="1"/>
    <col min="1814" max="1814" width="5.83203125" style="56" customWidth="1"/>
    <col min="1815" max="1815" width="15.5" style="56" customWidth="1"/>
    <col min="1816" max="2056" width="11.5" style="56"/>
    <col min="2057" max="2057" width="0.5" style="56" customWidth="1"/>
    <col min="2058" max="2058" width="3.1640625" style="56" customWidth="1"/>
    <col min="2059" max="2059" width="8.83203125" style="56" customWidth="1"/>
    <col min="2060" max="2060" width="14.83203125" style="56" customWidth="1"/>
    <col min="2061" max="2062" width="6.5" style="56" customWidth="1"/>
    <col min="2063" max="2063" width="14.83203125" style="56" customWidth="1"/>
    <col min="2064" max="2065" width="11.5" style="56" customWidth="1"/>
    <col min="2066" max="2066" width="6.1640625" style="56" customWidth="1"/>
    <col min="2067" max="2067" width="22.83203125" style="56" customWidth="1"/>
    <col min="2068" max="2068" width="11.5" style="56" customWidth="1"/>
    <col min="2069" max="2069" width="13.83203125" style="56" customWidth="1"/>
    <col min="2070" max="2070" width="5.83203125" style="56" customWidth="1"/>
    <col min="2071" max="2071" width="15.5" style="56" customWidth="1"/>
    <col min="2072" max="2312" width="11.5" style="56"/>
    <col min="2313" max="2313" width="0.5" style="56" customWidth="1"/>
    <col min="2314" max="2314" width="3.1640625" style="56" customWidth="1"/>
    <col min="2315" max="2315" width="8.83203125" style="56" customWidth="1"/>
    <col min="2316" max="2316" width="14.83203125" style="56" customWidth="1"/>
    <col min="2317" max="2318" width="6.5" style="56" customWidth="1"/>
    <col min="2319" max="2319" width="14.83203125" style="56" customWidth="1"/>
    <col min="2320" max="2321" width="11.5" style="56" customWidth="1"/>
    <col min="2322" max="2322" width="6.1640625" style="56" customWidth="1"/>
    <col min="2323" max="2323" width="22.83203125" style="56" customWidth="1"/>
    <col min="2324" max="2324" width="11.5" style="56" customWidth="1"/>
    <col min="2325" max="2325" width="13.83203125" style="56" customWidth="1"/>
    <col min="2326" max="2326" width="5.83203125" style="56" customWidth="1"/>
    <col min="2327" max="2327" width="15.5" style="56" customWidth="1"/>
    <col min="2328" max="2568" width="11.5" style="56"/>
    <col min="2569" max="2569" width="0.5" style="56" customWidth="1"/>
    <col min="2570" max="2570" width="3.1640625" style="56" customWidth="1"/>
    <col min="2571" max="2571" width="8.83203125" style="56" customWidth="1"/>
    <col min="2572" max="2572" width="14.83203125" style="56" customWidth="1"/>
    <col min="2573" max="2574" width="6.5" style="56" customWidth="1"/>
    <col min="2575" max="2575" width="14.83203125" style="56" customWidth="1"/>
    <col min="2576" max="2577" width="11.5" style="56" customWidth="1"/>
    <col min="2578" max="2578" width="6.1640625" style="56" customWidth="1"/>
    <col min="2579" max="2579" width="22.83203125" style="56" customWidth="1"/>
    <col min="2580" max="2580" width="11.5" style="56" customWidth="1"/>
    <col min="2581" max="2581" width="13.83203125" style="56" customWidth="1"/>
    <col min="2582" max="2582" width="5.83203125" style="56" customWidth="1"/>
    <col min="2583" max="2583" width="15.5" style="56" customWidth="1"/>
    <col min="2584" max="2824" width="11.5" style="56"/>
    <col min="2825" max="2825" width="0.5" style="56" customWidth="1"/>
    <col min="2826" max="2826" width="3.1640625" style="56" customWidth="1"/>
    <col min="2827" max="2827" width="8.83203125" style="56" customWidth="1"/>
    <col min="2828" max="2828" width="14.83203125" style="56" customWidth="1"/>
    <col min="2829" max="2830" width="6.5" style="56" customWidth="1"/>
    <col min="2831" max="2831" width="14.83203125" style="56" customWidth="1"/>
    <col min="2832" max="2833" width="11.5" style="56" customWidth="1"/>
    <col min="2834" max="2834" width="6.1640625" style="56" customWidth="1"/>
    <col min="2835" max="2835" width="22.83203125" style="56" customWidth="1"/>
    <col min="2836" max="2836" width="11.5" style="56" customWidth="1"/>
    <col min="2837" max="2837" width="13.83203125" style="56" customWidth="1"/>
    <col min="2838" max="2838" width="5.83203125" style="56" customWidth="1"/>
    <col min="2839" max="2839" width="15.5" style="56" customWidth="1"/>
    <col min="2840" max="3080" width="11.5" style="56"/>
    <col min="3081" max="3081" width="0.5" style="56" customWidth="1"/>
    <col min="3082" max="3082" width="3.1640625" style="56" customWidth="1"/>
    <col min="3083" max="3083" width="8.83203125" style="56" customWidth="1"/>
    <col min="3084" max="3084" width="14.83203125" style="56" customWidth="1"/>
    <col min="3085" max="3086" width="6.5" style="56" customWidth="1"/>
    <col min="3087" max="3087" width="14.83203125" style="56" customWidth="1"/>
    <col min="3088" max="3089" width="11.5" style="56" customWidth="1"/>
    <col min="3090" max="3090" width="6.1640625" style="56" customWidth="1"/>
    <col min="3091" max="3091" width="22.83203125" style="56" customWidth="1"/>
    <col min="3092" max="3092" width="11.5" style="56" customWidth="1"/>
    <col min="3093" max="3093" width="13.83203125" style="56" customWidth="1"/>
    <col min="3094" max="3094" width="5.83203125" style="56" customWidth="1"/>
    <col min="3095" max="3095" width="15.5" style="56" customWidth="1"/>
    <col min="3096" max="3336" width="11.5" style="56"/>
    <col min="3337" max="3337" width="0.5" style="56" customWidth="1"/>
    <col min="3338" max="3338" width="3.1640625" style="56" customWidth="1"/>
    <col min="3339" max="3339" width="8.83203125" style="56" customWidth="1"/>
    <col min="3340" max="3340" width="14.83203125" style="56" customWidth="1"/>
    <col min="3341" max="3342" width="6.5" style="56" customWidth="1"/>
    <col min="3343" max="3343" width="14.83203125" style="56" customWidth="1"/>
    <col min="3344" max="3345" width="11.5" style="56" customWidth="1"/>
    <col min="3346" max="3346" width="6.1640625" style="56" customWidth="1"/>
    <col min="3347" max="3347" width="22.83203125" style="56" customWidth="1"/>
    <col min="3348" max="3348" width="11.5" style="56" customWidth="1"/>
    <col min="3349" max="3349" width="13.83203125" style="56" customWidth="1"/>
    <col min="3350" max="3350" width="5.83203125" style="56" customWidth="1"/>
    <col min="3351" max="3351" width="15.5" style="56" customWidth="1"/>
    <col min="3352" max="3592" width="11.5" style="56"/>
    <col min="3593" max="3593" width="0.5" style="56" customWidth="1"/>
    <col min="3594" max="3594" width="3.1640625" style="56" customWidth="1"/>
    <col min="3595" max="3595" width="8.83203125" style="56" customWidth="1"/>
    <col min="3596" max="3596" width="14.83203125" style="56" customWidth="1"/>
    <col min="3597" max="3598" width="6.5" style="56" customWidth="1"/>
    <col min="3599" max="3599" width="14.83203125" style="56" customWidth="1"/>
    <col min="3600" max="3601" width="11.5" style="56" customWidth="1"/>
    <col min="3602" max="3602" width="6.1640625" style="56" customWidth="1"/>
    <col min="3603" max="3603" width="22.83203125" style="56" customWidth="1"/>
    <col min="3604" max="3604" width="11.5" style="56" customWidth="1"/>
    <col min="3605" max="3605" width="13.83203125" style="56" customWidth="1"/>
    <col min="3606" max="3606" width="5.83203125" style="56" customWidth="1"/>
    <col min="3607" max="3607" width="15.5" style="56" customWidth="1"/>
    <col min="3608" max="3848" width="11.5" style="56"/>
    <col min="3849" max="3849" width="0.5" style="56" customWidth="1"/>
    <col min="3850" max="3850" width="3.1640625" style="56" customWidth="1"/>
    <col min="3851" max="3851" width="8.83203125" style="56" customWidth="1"/>
    <col min="3852" max="3852" width="14.83203125" style="56" customWidth="1"/>
    <col min="3853" max="3854" width="6.5" style="56" customWidth="1"/>
    <col min="3855" max="3855" width="14.83203125" style="56" customWidth="1"/>
    <col min="3856" max="3857" width="11.5" style="56" customWidth="1"/>
    <col min="3858" max="3858" width="6.1640625" style="56" customWidth="1"/>
    <col min="3859" max="3859" width="22.83203125" style="56" customWidth="1"/>
    <col min="3860" max="3860" width="11.5" style="56" customWidth="1"/>
    <col min="3861" max="3861" width="13.83203125" style="56" customWidth="1"/>
    <col min="3862" max="3862" width="5.83203125" style="56" customWidth="1"/>
    <col min="3863" max="3863" width="15.5" style="56" customWidth="1"/>
    <col min="3864" max="4104" width="11.5" style="56"/>
    <col min="4105" max="4105" width="0.5" style="56" customWidth="1"/>
    <col min="4106" max="4106" width="3.1640625" style="56" customWidth="1"/>
    <col min="4107" max="4107" width="8.83203125" style="56" customWidth="1"/>
    <col min="4108" max="4108" width="14.83203125" style="56" customWidth="1"/>
    <col min="4109" max="4110" width="6.5" style="56" customWidth="1"/>
    <col min="4111" max="4111" width="14.83203125" style="56" customWidth="1"/>
    <col min="4112" max="4113" width="11.5" style="56" customWidth="1"/>
    <col min="4114" max="4114" width="6.1640625" style="56" customWidth="1"/>
    <col min="4115" max="4115" width="22.83203125" style="56" customWidth="1"/>
    <col min="4116" max="4116" width="11.5" style="56" customWidth="1"/>
    <col min="4117" max="4117" width="13.83203125" style="56" customWidth="1"/>
    <col min="4118" max="4118" width="5.83203125" style="56" customWidth="1"/>
    <col min="4119" max="4119" width="15.5" style="56" customWidth="1"/>
    <col min="4120" max="4360" width="11.5" style="56"/>
    <col min="4361" max="4361" width="0.5" style="56" customWidth="1"/>
    <col min="4362" max="4362" width="3.1640625" style="56" customWidth="1"/>
    <col min="4363" max="4363" width="8.83203125" style="56" customWidth="1"/>
    <col min="4364" max="4364" width="14.83203125" style="56" customWidth="1"/>
    <col min="4365" max="4366" width="6.5" style="56" customWidth="1"/>
    <col min="4367" max="4367" width="14.83203125" style="56" customWidth="1"/>
    <col min="4368" max="4369" width="11.5" style="56" customWidth="1"/>
    <col min="4370" max="4370" width="6.1640625" style="56" customWidth="1"/>
    <col min="4371" max="4371" width="22.83203125" style="56" customWidth="1"/>
    <col min="4372" max="4372" width="11.5" style="56" customWidth="1"/>
    <col min="4373" max="4373" width="13.83203125" style="56" customWidth="1"/>
    <col min="4374" max="4374" width="5.83203125" style="56" customWidth="1"/>
    <col min="4375" max="4375" width="15.5" style="56" customWidth="1"/>
    <col min="4376" max="4616" width="11.5" style="56"/>
    <col min="4617" max="4617" width="0.5" style="56" customWidth="1"/>
    <col min="4618" max="4618" width="3.1640625" style="56" customWidth="1"/>
    <col min="4619" max="4619" width="8.83203125" style="56" customWidth="1"/>
    <col min="4620" max="4620" width="14.83203125" style="56" customWidth="1"/>
    <col min="4621" max="4622" width="6.5" style="56" customWidth="1"/>
    <col min="4623" max="4623" width="14.83203125" style="56" customWidth="1"/>
    <col min="4624" max="4625" width="11.5" style="56" customWidth="1"/>
    <col min="4626" max="4626" width="6.1640625" style="56" customWidth="1"/>
    <col min="4627" max="4627" width="22.83203125" style="56" customWidth="1"/>
    <col min="4628" max="4628" width="11.5" style="56" customWidth="1"/>
    <col min="4629" max="4629" width="13.83203125" style="56" customWidth="1"/>
    <col min="4630" max="4630" width="5.83203125" style="56" customWidth="1"/>
    <col min="4631" max="4631" width="15.5" style="56" customWidth="1"/>
    <col min="4632" max="4872" width="11.5" style="56"/>
    <col min="4873" max="4873" width="0.5" style="56" customWidth="1"/>
    <col min="4874" max="4874" width="3.1640625" style="56" customWidth="1"/>
    <col min="4875" max="4875" width="8.83203125" style="56" customWidth="1"/>
    <col min="4876" max="4876" width="14.83203125" style="56" customWidth="1"/>
    <col min="4877" max="4878" width="6.5" style="56" customWidth="1"/>
    <col min="4879" max="4879" width="14.83203125" style="56" customWidth="1"/>
    <col min="4880" max="4881" width="11.5" style="56" customWidth="1"/>
    <col min="4882" max="4882" width="6.1640625" style="56" customWidth="1"/>
    <col min="4883" max="4883" width="22.83203125" style="56" customWidth="1"/>
    <col min="4884" max="4884" width="11.5" style="56" customWidth="1"/>
    <col min="4885" max="4885" width="13.83203125" style="56" customWidth="1"/>
    <col min="4886" max="4886" width="5.83203125" style="56" customWidth="1"/>
    <col min="4887" max="4887" width="15.5" style="56" customWidth="1"/>
    <col min="4888" max="5128" width="11.5" style="56"/>
    <col min="5129" max="5129" width="0.5" style="56" customWidth="1"/>
    <col min="5130" max="5130" width="3.1640625" style="56" customWidth="1"/>
    <col min="5131" max="5131" width="8.83203125" style="56" customWidth="1"/>
    <col min="5132" max="5132" width="14.83203125" style="56" customWidth="1"/>
    <col min="5133" max="5134" width="6.5" style="56" customWidth="1"/>
    <col min="5135" max="5135" width="14.83203125" style="56" customWidth="1"/>
    <col min="5136" max="5137" width="11.5" style="56" customWidth="1"/>
    <col min="5138" max="5138" width="6.1640625" style="56" customWidth="1"/>
    <col min="5139" max="5139" width="22.83203125" style="56" customWidth="1"/>
    <col min="5140" max="5140" width="11.5" style="56" customWidth="1"/>
    <col min="5141" max="5141" width="13.83203125" style="56" customWidth="1"/>
    <col min="5142" max="5142" width="5.83203125" style="56" customWidth="1"/>
    <col min="5143" max="5143" width="15.5" style="56" customWidth="1"/>
    <col min="5144" max="5384" width="11.5" style="56"/>
    <col min="5385" max="5385" width="0.5" style="56" customWidth="1"/>
    <col min="5386" max="5386" width="3.1640625" style="56" customWidth="1"/>
    <col min="5387" max="5387" width="8.83203125" style="56" customWidth="1"/>
    <col min="5388" max="5388" width="14.83203125" style="56" customWidth="1"/>
    <col min="5389" max="5390" width="6.5" style="56" customWidth="1"/>
    <col min="5391" max="5391" width="14.83203125" style="56" customWidth="1"/>
    <col min="5392" max="5393" width="11.5" style="56" customWidth="1"/>
    <col min="5394" max="5394" width="6.1640625" style="56" customWidth="1"/>
    <col min="5395" max="5395" width="22.83203125" style="56" customWidth="1"/>
    <col min="5396" max="5396" width="11.5" style="56" customWidth="1"/>
    <col min="5397" max="5397" width="13.83203125" style="56" customWidth="1"/>
    <col min="5398" max="5398" width="5.83203125" style="56" customWidth="1"/>
    <col min="5399" max="5399" width="15.5" style="56" customWidth="1"/>
    <col min="5400" max="5640" width="11.5" style="56"/>
    <col min="5641" max="5641" width="0.5" style="56" customWidth="1"/>
    <col min="5642" max="5642" width="3.1640625" style="56" customWidth="1"/>
    <col min="5643" max="5643" width="8.83203125" style="56" customWidth="1"/>
    <col min="5644" max="5644" width="14.83203125" style="56" customWidth="1"/>
    <col min="5645" max="5646" width="6.5" style="56" customWidth="1"/>
    <col min="5647" max="5647" width="14.83203125" style="56" customWidth="1"/>
    <col min="5648" max="5649" width="11.5" style="56" customWidth="1"/>
    <col min="5650" max="5650" width="6.1640625" style="56" customWidth="1"/>
    <col min="5651" max="5651" width="22.83203125" style="56" customWidth="1"/>
    <col min="5652" max="5652" width="11.5" style="56" customWidth="1"/>
    <col min="5653" max="5653" width="13.83203125" style="56" customWidth="1"/>
    <col min="5654" max="5654" width="5.83203125" style="56" customWidth="1"/>
    <col min="5655" max="5655" width="15.5" style="56" customWidth="1"/>
    <col min="5656" max="5896" width="11.5" style="56"/>
    <col min="5897" max="5897" width="0.5" style="56" customWidth="1"/>
    <col min="5898" max="5898" width="3.1640625" style="56" customWidth="1"/>
    <col min="5899" max="5899" width="8.83203125" style="56" customWidth="1"/>
    <col min="5900" max="5900" width="14.83203125" style="56" customWidth="1"/>
    <col min="5901" max="5902" width="6.5" style="56" customWidth="1"/>
    <col min="5903" max="5903" width="14.83203125" style="56" customWidth="1"/>
    <col min="5904" max="5905" width="11.5" style="56" customWidth="1"/>
    <col min="5906" max="5906" width="6.1640625" style="56" customWidth="1"/>
    <col min="5907" max="5907" width="22.83203125" style="56" customWidth="1"/>
    <col min="5908" max="5908" width="11.5" style="56" customWidth="1"/>
    <col min="5909" max="5909" width="13.83203125" style="56" customWidth="1"/>
    <col min="5910" max="5910" width="5.83203125" style="56" customWidth="1"/>
    <col min="5911" max="5911" width="15.5" style="56" customWidth="1"/>
    <col min="5912" max="6152" width="11.5" style="56"/>
    <col min="6153" max="6153" width="0.5" style="56" customWidth="1"/>
    <col min="6154" max="6154" width="3.1640625" style="56" customWidth="1"/>
    <col min="6155" max="6155" width="8.83203125" style="56" customWidth="1"/>
    <col min="6156" max="6156" width="14.83203125" style="56" customWidth="1"/>
    <col min="6157" max="6158" width="6.5" style="56" customWidth="1"/>
    <col min="6159" max="6159" width="14.83203125" style="56" customWidth="1"/>
    <col min="6160" max="6161" width="11.5" style="56" customWidth="1"/>
    <col min="6162" max="6162" width="6.1640625" style="56" customWidth="1"/>
    <col min="6163" max="6163" width="22.83203125" style="56" customWidth="1"/>
    <col min="6164" max="6164" width="11.5" style="56" customWidth="1"/>
    <col min="6165" max="6165" width="13.83203125" style="56" customWidth="1"/>
    <col min="6166" max="6166" width="5.83203125" style="56" customWidth="1"/>
    <col min="6167" max="6167" width="15.5" style="56" customWidth="1"/>
    <col min="6168" max="6408" width="11.5" style="56"/>
    <col min="6409" max="6409" width="0.5" style="56" customWidth="1"/>
    <col min="6410" max="6410" width="3.1640625" style="56" customWidth="1"/>
    <col min="6411" max="6411" width="8.83203125" style="56" customWidth="1"/>
    <col min="6412" max="6412" width="14.83203125" style="56" customWidth="1"/>
    <col min="6413" max="6414" width="6.5" style="56" customWidth="1"/>
    <col min="6415" max="6415" width="14.83203125" style="56" customWidth="1"/>
    <col min="6416" max="6417" width="11.5" style="56" customWidth="1"/>
    <col min="6418" max="6418" width="6.1640625" style="56" customWidth="1"/>
    <col min="6419" max="6419" width="22.83203125" style="56" customWidth="1"/>
    <col min="6420" max="6420" width="11.5" style="56" customWidth="1"/>
    <col min="6421" max="6421" width="13.83203125" style="56" customWidth="1"/>
    <col min="6422" max="6422" width="5.83203125" style="56" customWidth="1"/>
    <col min="6423" max="6423" width="15.5" style="56" customWidth="1"/>
    <col min="6424" max="6664" width="11.5" style="56"/>
    <col min="6665" max="6665" width="0.5" style="56" customWidth="1"/>
    <col min="6666" max="6666" width="3.1640625" style="56" customWidth="1"/>
    <col min="6667" max="6667" width="8.83203125" style="56" customWidth="1"/>
    <col min="6668" max="6668" width="14.83203125" style="56" customWidth="1"/>
    <col min="6669" max="6670" width="6.5" style="56" customWidth="1"/>
    <col min="6671" max="6671" width="14.83203125" style="56" customWidth="1"/>
    <col min="6672" max="6673" width="11.5" style="56" customWidth="1"/>
    <col min="6674" max="6674" width="6.1640625" style="56" customWidth="1"/>
    <col min="6675" max="6675" width="22.83203125" style="56" customWidth="1"/>
    <col min="6676" max="6676" width="11.5" style="56" customWidth="1"/>
    <col min="6677" max="6677" width="13.83203125" style="56" customWidth="1"/>
    <col min="6678" max="6678" width="5.83203125" style="56" customWidth="1"/>
    <col min="6679" max="6679" width="15.5" style="56" customWidth="1"/>
    <col min="6680" max="6920" width="11.5" style="56"/>
    <col min="6921" max="6921" width="0.5" style="56" customWidth="1"/>
    <col min="6922" max="6922" width="3.1640625" style="56" customWidth="1"/>
    <col min="6923" max="6923" width="8.83203125" style="56" customWidth="1"/>
    <col min="6924" max="6924" width="14.83203125" style="56" customWidth="1"/>
    <col min="6925" max="6926" width="6.5" style="56" customWidth="1"/>
    <col min="6927" max="6927" width="14.83203125" style="56" customWidth="1"/>
    <col min="6928" max="6929" width="11.5" style="56" customWidth="1"/>
    <col min="6930" max="6930" width="6.1640625" style="56" customWidth="1"/>
    <col min="6931" max="6931" width="22.83203125" style="56" customWidth="1"/>
    <col min="6932" max="6932" width="11.5" style="56" customWidth="1"/>
    <col min="6933" max="6933" width="13.83203125" style="56" customWidth="1"/>
    <col min="6934" max="6934" width="5.83203125" style="56" customWidth="1"/>
    <col min="6935" max="6935" width="15.5" style="56" customWidth="1"/>
    <col min="6936" max="7176" width="11.5" style="56"/>
    <col min="7177" max="7177" width="0.5" style="56" customWidth="1"/>
    <col min="7178" max="7178" width="3.1640625" style="56" customWidth="1"/>
    <col min="7179" max="7179" width="8.83203125" style="56" customWidth="1"/>
    <col min="7180" max="7180" width="14.83203125" style="56" customWidth="1"/>
    <col min="7181" max="7182" width="6.5" style="56" customWidth="1"/>
    <col min="7183" max="7183" width="14.83203125" style="56" customWidth="1"/>
    <col min="7184" max="7185" width="11.5" style="56" customWidth="1"/>
    <col min="7186" max="7186" width="6.1640625" style="56" customWidth="1"/>
    <col min="7187" max="7187" width="22.83203125" style="56" customWidth="1"/>
    <col min="7188" max="7188" width="11.5" style="56" customWidth="1"/>
    <col min="7189" max="7189" width="13.83203125" style="56" customWidth="1"/>
    <col min="7190" max="7190" width="5.83203125" style="56" customWidth="1"/>
    <col min="7191" max="7191" width="15.5" style="56" customWidth="1"/>
    <col min="7192" max="7432" width="11.5" style="56"/>
    <col min="7433" max="7433" width="0.5" style="56" customWidth="1"/>
    <col min="7434" max="7434" width="3.1640625" style="56" customWidth="1"/>
    <col min="7435" max="7435" width="8.83203125" style="56" customWidth="1"/>
    <col min="7436" max="7436" width="14.83203125" style="56" customWidth="1"/>
    <col min="7437" max="7438" width="6.5" style="56" customWidth="1"/>
    <col min="7439" max="7439" width="14.83203125" style="56" customWidth="1"/>
    <col min="7440" max="7441" width="11.5" style="56" customWidth="1"/>
    <col min="7442" max="7442" width="6.1640625" style="56" customWidth="1"/>
    <col min="7443" max="7443" width="22.83203125" style="56" customWidth="1"/>
    <col min="7444" max="7444" width="11.5" style="56" customWidth="1"/>
    <col min="7445" max="7445" width="13.83203125" style="56" customWidth="1"/>
    <col min="7446" max="7446" width="5.83203125" style="56" customWidth="1"/>
    <col min="7447" max="7447" width="15.5" style="56" customWidth="1"/>
    <col min="7448" max="7688" width="11.5" style="56"/>
    <col min="7689" max="7689" width="0.5" style="56" customWidth="1"/>
    <col min="7690" max="7690" width="3.1640625" style="56" customWidth="1"/>
    <col min="7691" max="7691" width="8.83203125" style="56" customWidth="1"/>
    <col min="7692" max="7692" width="14.83203125" style="56" customWidth="1"/>
    <col min="7693" max="7694" width="6.5" style="56" customWidth="1"/>
    <col min="7695" max="7695" width="14.83203125" style="56" customWidth="1"/>
    <col min="7696" max="7697" width="11.5" style="56" customWidth="1"/>
    <col min="7698" max="7698" width="6.1640625" style="56" customWidth="1"/>
    <col min="7699" max="7699" width="22.83203125" style="56" customWidth="1"/>
    <col min="7700" max="7700" width="11.5" style="56" customWidth="1"/>
    <col min="7701" max="7701" width="13.83203125" style="56" customWidth="1"/>
    <col min="7702" max="7702" width="5.83203125" style="56" customWidth="1"/>
    <col min="7703" max="7703" width="15.5" style="56" customWidth="1"/>
    <col min="7704" max="7944" width="11.5" style="56"/>
    <col min="7945" max="7945" width="0.5" style="56" customWidth="1"/>
    <col min="7946" max="7946" width="3.1640625" style="56" customWidth="1"/>
    <col min="7947" max="7947" width="8.83203125" style="56" customWidth="1"/>
    <col min="7948" max="7948" width="14.83203125" style="56" customWidth="1"/>
    <col min="7949" max="7950" width="6.5" style="56" customWidth="1"/>
    <col min="7951" max="7951" width="14.83203125" style="56" customWidth="1"/>
    <col min="7952" max="7953" width="11.5" style="56" customWidth="1"/>
    <col min="7954" max="7954" width="6.1640625" style="56" customWidth="1"/>
    <col min="7955" max="7955" width="22.83203125" style="56" customWidth="1"/>
    <col min="7956" max="7956" width="11.5" style="56" customWidth="1"/>
    <col min="7957" max="7957" width="13.83203125" style="56" customWidth="1"/>
    <col min="7958" max="7958" width="5.83203125" style="56" customWidth="1"/>
    <col min="7959" max="7959" width="15.5" style="56" customWidth="1"/>
    <col min="7960" max="8200" width="11.5" style="56"/>
    <col min="8201" max="8201" width="0.5" style="56" customWidth="1"/>
    <col min="8202" max="8202" width="3.1640625" style="56" customWidth="1"/>
    <col min="8203" max="8203" width="8.83203125" style="56" customWidth="1"/>
    <col min="8204" max="8204" width="14.83203125" style="56" customWidth="1"/>
    <col min="8205" max="8206" width="6.5" style="56" customWidth="1"/>
    <col min="8207" max="8207" width="14.83203125" style="56" customWidth="1"/>
    <col min="8208" max="8209" width="11.5" style="56" customWidth="1"/>
    <col min="8210" max="8210" width="6.1640625" style="56" customWidth="1"/>
    <col min="8211" max="8211" width="22.83203125" style="56" customWidth="1"/>
    <col min="8212" max="8212" width="11.5" style="56" customWidth="1"/>
    <col min="8213" max="8213" width="13.83203125" style="56" customWidth="1"/>
    <col min="8214" max="8214" width="5.83203125" style="56" customWidth="1"/>
    <col min="8215" max="8215" width="15.5" style="56" customWidth="1"/>
    <col min="8216" max="8456" width="11.5" style="56"/>
    <col min="8457" max="8457" width="0.5" style="56" customWidth="1"/>
    <col min="8458" max="8458" width="3.1640625" style="56" customWidth="1"/>
    <col min="8459" max="8459" width="8.83203125" style="56" customWidth="1"/>
    <col min="8460" max="8460" width="14.83203125" style="56" customWidth="1"/>
    <col min="8461" max="8462" width="6.5" style="56" customWidth="1"/>
    <col min="8463" max="8463" width="14.83203125" style="56" customWidth="1"/>
    <col min="8464" max="8465" width="11.5" style="56" customWidth="1"/>
    <col min="8466" max="8466" width="6.1640625" style="56" customWidth="1"/>
    <col min="8467" max="8467" width="22.83203125" style="56" customWidth="1"/>
    <col min="8468" max="8468" width="11.5" style="56" customWidth="1"/>
    <col min="8469" max="8469" width="13.83203125" style="56" customWidth="1"/>
    <col min="8470" max="8470" width="5.83203125" style="56" customWidth="1"/>
    <col min="8471" max="8471" width="15.5" style="56" customWidth="1"/>
    <col min="8472" max="8712" width="11.5" style="56"/>
    <col min="8713" max="8713" width="0.5" style="56" customWidth="1"/>
    <col min="8714" max="8714" width="3.1640625" style="56" customWidth="1"/>
    <col min="8715" max="8715" width="8.83203125" style="56" customWidth="1"/>
    <col min="8716" max="8716" width="14.83203125" style="56" customWidth="1"/>
    <col min="8717" max="8718" width="6.5" style="56" customWidth="1"/>
    <col min="8719" max="8719" width="14.83203125" style="56" customWidth="1"/>
    <col min="8720" max="8721" width="11.5" style="56" customWidth="1"/>
    <col min="8722" max="8722" width="6.1640625" style="56" customWidth="1"/>
    <col min="8723" max="8723" width="22.83203125" style="56" customWidth="1"/>
    <col min="8724" max="8724" width="11.5" style="56" customWidth="1"/>
    <col min="8725" max="8725" width="13.83203125" style="56" customWidth="1"/>
    <col min="8726" max="8726" width="5.83203125" style="56" customWidth="1"/>
    <col min="8727" max="8727" width="15.5" style="56" customWidth="1"/>
    <col min="8728" max="8968" width="11.5" style="56"/>
    <col min="8969" max="8969" width="0.5" style="56" customWidth="1"/>
    <col min="8970" max="8970" width="3.1640625" style="56" customWidth="1"/>
    <col min="8971" max="8971" width="8.83203125" style="56" customWidth="1"/>
    <col min="8972" max="8972" width="14.83203125" style="56" customWidth="1"/>
    <col min="8973" max="8974" width="6.5" style="56" customWidth="1"/>
    <col min="8975" max="8975" width="14.83203125" style="56" customWidth="1"/>
    <col min="8976" max="8977" width="11.5" style="56" customWidth="1"/>
    <col min="8978" max="8978" width="6.1640625" style="56" customWidth="1"/>
    <col min="8979" max="8979" width="22.83203125" style="56" customWidth="1"/>
    <col min="8980" max="8980" width="11.5" style="56" customWidth="1"/>
    <col min="8981" max="8981" width="13.83203125" style="56" customWidth="1"/>
    <col min="8982" max="8982" width="5.83203125" style="56" customWidth="1"/>
    <col min="8983" max="8983" width="15.5" style="56" customWidth="1"/>
    <col min="8984" max="9224" width="11.5" style="56"/>
    <col min="9225" max="9225" width="0.5" style="56" customWidth="1"/>
    <col min="9226" max="9226" width="3.1640625" style="56" customWidth="1"/>
    <col min="9227" max="9227" width="8.83203125" style="56" customWidth="1"/>
    <col min="9228" max="9228" width="14.83203125" style="56" customWidth="1"/>
    <col min="9229" max="9230" width="6.5" style="56" customWidth="1"/>
    <col min="9231" max="9231" width="14.83203125" style="56" customWidth="1"/>
    <col min="9232" max="9233" width="11.5" style="56" customWidth="1"/>
    <col min="9234" max="9234" width="6.1640625" style="56" customWidth="1"/>
    <col min="9235" max="9235" width="22.83203125" style="56" customWidth="1"/>
    <col min="9236" max="9236" width="11.5" style="56" customWidth="1"/>
    <col min="9237" max="9237" width="13.83203125" style="56" customWidth="1"/>
    <col min="9238" max="9238" width="5.83203125" style="56" customWidth="1"/>
    <col min="9239" max="9239" width="15.5" style="56" customWidth="1"/>
    <col min="9240" max="9480" width="11.5" style="56"/>
    <col min="9481" max="9481" width="0.5" style="56" customWidth="1"/>
    <col min="9482" max="9482" width="3.1640625" style="56" customWidth="1"/>
    <col min="9483" max="9483" width="8.83203125" style="56" customWidth="1"/>
    <col min="9484" max="9484" width="14.83203125" style="56" customWidth="1"/>
    <col min="9485" max="9486" width="6.5" style="56" customWidth="1"/>
    <col min="9487" max="9487" width="14.83203125" style="56" customWidth="1"/>
    <col min="9488" max="9489" width="11.5" style="56" customWidth="1"/>
    <col min="9490" max="9490" width="6.1640625" style="56" customWidth="1"/>
    <col min="9491" max="9491" width="22.83203125" style="56" customWidth="1"/>
    <col min="9492" max="9492" width="11.5" style="56" customWidth="1"/>
    <col min="9493" max="9493" width="13.83203125" style="56" customWidth="1"/>
    <col min="9494" max="9494" width="5.83203125" style="56" customWidth="1"/>
    <col min="9495" max="9495" width="15.5" style="56" customWidth="1"/>
    <col min="9496" max="9736" width="11.5" style="56"/>
    <col min="9737" max="9737" width="0.5" style="56" customWidth="1"/>
    <col min="9738" max="9738" width="3.1640625" style="56" customWidth="1"/>
    <col min="9739" max="9739" width="8.83203125" style="56" customWidth="1"/>
    <col min="9740" max="9740" width="14.83203125" style="56" customWidth="1"/>
    <col min="9741" max="9742" width="6.5" style="56" customWidth="1"/>
    <col min="9743" max="9743" width="14.83203125" style="56" customWidth="1"/>
    <col min="9744" max="9745" width="11.5" style="56" customWidth="1"/>
    <col min="9746" max="9746" width="6.1640625" style="56" customWidth="1"/>
    <col min="9747" max="9747" width="22.83203125" style="56" customWidth="1"/>
    <col min="9748" max="9748" width="11.5" style="56" customWidth="1"/>
    <col min="9749" max="9749" width="13.83203125" style="56" customWidth="1"/>
    <col min="9750" max="9750" width="5.83203125" style="56" customWidth="1"/>
    <col min="9751" max="9751" width="15.5" style="56" customWidth="1"/>
    <col min="9752" max="9992" width="11.5" style="56"/>
    <col min="9993" max="9993" width="0.5" style="56" customWidth="1"/>
    <col min="9994" max="9994" width="3.1640625" style="56" customWidth="1"/>
    <col min="9995" max="9995" width="8.83203125" style="56" customWidth="1"/>
    <col min="9996" max="9996" width="14.83203125" style="56" customWidth="1"/>
    <col min="9997" max="9998" width="6.5" style="56" customWidth="1"/>
    <col min="9999" max="9999" width="14.83203125" style="56" customWidth="1"/>
    <col min="10000" max="10001" width="11.5" style="56" customWidth="1"/>
    <col min="10002" max="10002" width="6.1640625" style="56" customWidth="1"/>
    <col min="10003" max="10003" width="22.83203125" style="56" customWidth="1"/>
    <col min="10004" max="10004" width="11.5" style="56" customWidth="1"/>
    <col min="10005" max="10005" width="13.83203125" style="56" customWidth="1"/>
    <col min="10006" max="10006" width="5.83203125" style="56" customWidth="1"/>
    <col min="10007" max="10007" width="15.5" style="56" customWidth="1"/>
    <col min="10008" max="10248" width="11.5" style="56"/>
    <col min="10249" max="10249" width="0.5" style="56" customWidth="1"/>
    <col min="10250" max="10250" width="3.1640625" style="56" customWidth="1"/>
    <col min="10251" max="10251" width="8.83203125" style="56" customWidth="1"/>
    <col min="10252" max="10252" width="14.83203125" style="56" customWidth="1"/>
    <col min="10253" max="10254" width="6.5" style="56" customWidth="1"/>
    <col min="10255" max="10255" width="14.83203125" style="56" customWidth="1"/>
    <col min="10256" max="10257" width="11.5" style="56" customWidth="1"/>
    <col min="10258" max="10258" width="6.1640625" style="56" customWidth="1"/>
    <col min="10259" max="10259" width="22.83203125" style="56" customWidth="1"/>
    <col min="10260" max="10260" width="11.5" style="56" customWidth="1"/>
    <col min="10261" max="10261" width="13.83203125" style="56" customWidth="1"/>
    <col min="10262" max="10262" width="5.83203125" style="56" customWidth="1"/>
    <col min="10263" max="10263" width="15.5" style="56" customWidth="1"/>
    <col min="10264" max="10504" width="11.5" style="56"/>
    <col min="10505" max="10505" width="0.5" style="56" customWidth="1"/>
    <col min="10506" max="10506" width="3.1640625" style="56" customWidth="1"/>
    <col min="10507" max="10507" width="8.83203125" style="56" customWidth="1"/>
    <col min="10508" max="10508" width="14.83203125" style="56" customWidth="1"/>
    <col min="10509" max="10510" width="6.5" style="56" customWidth="1"/>
    <col min="10511" max="10511" width="14.83203125" style="56" customWidth="1"/>
    <col min="10512" max="10513" width="11.5" style="56" customWidth="1"/>
    <col min="10514" max="10514" width="6.1640625" style="56" customWidth="1"/>
    <col min="10515" max="10515" width="22.83203125" style="56" customWidth="1"/>
    <col min="10516" max="10516" width="11.5" style="56" customWidth="1"/>
    <col min="10517" max="10517" width="13.83203125" style="56" customWidth="1"/>
    <col min="10518" max="10518" width="5.83203125" style="56" customWidth="1"/>
    <col min="10519" max="10519" width="15.5" style="56" customWidth="1"/>
    <col min="10520" max="10760" width="11.5" style="56"/>
    <col min="10761" max="10761" width="0.5" style="56" customWidth="1"/>
    <col min="10762" max="10762" width="3.1640625" style="56" customWidth="1"/>
    <col min="10763" max="10763" width="8.83203125" style="56" customWidth="1"/>
    <col min="10764" max="10764" width="14.83203125" style="56" customWidth="1"/>
    <col min="10765" max="10766" width="6.5" style="56" customWidth="1"/>
    <col min="10767" max="10767" width="14.83203125" style="56" customWidth="1"/>
    <col min="10768" max="10769" width="11.5" style="56" customWidth="1"/>
    <col min="10770" max="10770" width="6.1640625" style="56" customWidth="1"/>
    <col min="10771" max="10771" width="22.83203125" style="56" customWidth="1"/>
    <col min="10772" max="10772" width="11.5" style="56" customWidth="1"/>
    <col min="10773" max="10773" width="13.83203125" style="56" customWidth="1"/>
    <col min="10774" max="10774" width="5.83203125" style="56" customWidth="1"/>
    <col min="10775" max="10775" width="15.5" style="56" customWidth="1"/>
    <col min="10776" max="11016" width="11.5" style="56"/>
    <col min="11017" max="11017" width="0.5" style="56" customWidth="1"/>
    <col min="11018" max="11018" width="3.1640625" style="56" customWidth="1"/>
    <col min="11019" max="11019" width="8.83203125" style="56" customWidth="1"/>
    <col min="11020" max="11020" width="14.83203125" style="56" customWidth="1"/>
    <col min="11021" max="11022" width="6.5" style="56" customWidth="1"/>
    <col min="11023" max="11023" width="14.83203125" style="56" customWidth="1"/>
    <col min="11024" max="11025" width="11.5" style="56" customWidth="1"/>
    <col min="11026" max="11026" width="6.1640625" style="56" customWidth="1"/>
    <col min="11027" max="11027" width="22.83203125" style="56" customWidth="1"/>
    <col min="11028" max="11028" width="11.5" style="56" customWidth="1"/>
    <col min="11029" max="11029" width="13.83203125" style="56" customWidth="1"/>
    <col min="11030" max="11030" width="5.83203125" style="56" customWidth="1"/>
    <col min="11031" max="11031" width="15.5" style="56" customWidth="1"/>
    <col min="11032" max="11272" width="11.5" style="56"/>
    <col min="11273" max="11273" width="0.5" style="56" customWidth="1"/>
    <col min="11274" max="11274" width="3.1640625" style="56" customWidth="1"/>
    <col min="11275" max="11275" width="8.83203125" style="56" customWidth="1"/>
    <col min="11276" max="11276" width="14.83203125" style="56" customWidth="1"/>
    <col min="11277" max="11278" width="6.5" style="56" customWidth="1"/>
    <col min="11279" max="11279" width="14.83203125" style="56" customWidth="1"/>
    <col min="11280" max="11281" width="11.5" style="56" customWidth="1"/>
    <col min="11282" max="11282" width="6.1640625" style="56" customWidth="1"/>
    <col min="11283" max="11283" width="22.83203125" style="56" customWidth="1"/>
    <col min="11284" max="11284" width="11.5" style="56" customWidth="1"/>
    <col min="11285" max="11285" width="13.83203125" style="56" customWidth="1"/>
    <col min="11286" max="11286" width="5.83203125" style="56" customWidth="1"/>
    <col min="11287" max="11287" width="15.5" style="56" customWidth="1"/>
    <col min="11288" max="11528" width="11.5" style="56"/>
    <col min="11529" max="11529" width="0.5" style="56" customWidth="1"/>
    <col min="11530" max="11530" width="3.1640625" style="56" customWidth="1"/>
    <col min="11531" max="11531" width="8.83203125" style="56" customWidth="1"/>
    <col min="11532" max="11532" width="14.83203125" style="56" customWidth="1"/>
    <col min="11533" max="11534" width="6.5" style="56" customWidth="1"/>
    <col min="11535" max="11535" width="14.83203125" style="56" customWidth="1"/>
    <col min="11536" max="11537" width="11.5" style="56" customWidth="1"/>
    <col min="11538" max="11538" width="6.1640625" style="56" customWidth="1"/>
    <col min="11539" max="11539" width="22.83203125" style="56" customWidth="1"/>
    <col min="11540" max="11540" width="11.5" style="56" customWidth="1"/>
    <col min="11541" max="11541" width="13.83203125" style="56" customWidth="1"/>
    <col min="11542" max="11542" width="5.83203125" style="56" customWidth="1"/>
    <col min="11543" max="11543" width="15.5" style="56" customWidth="1"/>
    <col min="11544" max="11784" width="11.5" style="56"/>
    <col min="11785" max="11785" width="0.5" style="56" customWidth="1"/>
    <col min="11786" max="11786" width="3.1640625" style="56" customWidth="1"/>
    <col min="11787" max="11787" width="8.83203125" style="56" customWidth="1"/>
    <col min="11788" max="11788" width="14.83203125" style="56" customWidth="1"/>
    <col min="11789" max="11790" width="6.5" style="56" customWidth="1"/>
    <col min="11791" max="11791" width="14.83203125" style="56" customWidth="1"/>
    <col min="11792" max="11793" width="11.5" style="56" customWidth="1"/>
    <col min="11794" max="11794" width="6.1640625" style="56" customWidth="1"/>
    <col min="11795" max="11795" width="22.83203125" style="56" customWidth="1"/>
    <col min="11796" max="11796" width="11.5" style="56" customWidth="1"/>
    <col min="11797" max="11797" width="13.83203125" style="56" customWidth="1"/>
    <col min="11798" max="11798" width="5.83203125" style="56" customWidth="1"/>
    <col min="11799" max="11799" width="15.5" style="56" customWidth="1"/>
    <col min="11800" max="12040" width="11.5" style="56"/>
    <col min="12041" max="12041" width="0.5" style="56" customWidth="1"/>
    <col min="12042" max="12042" width="3.1640625" style="56" customWidth="1"/>
    <col min="12043" max="12043" width="8.83203125" style="56" customWidth="1"/>
    <col min="12044" max="12044" width="14.83203125" style="56" customWidth="1"/>
    <col min="12045" max="12046" width="6.5" style="56" customWidth="1"/>
    <col min="12047" max="12047" width="14.83203125" style="56" customWidth="1"/>
    <col min="12048" max="12049" width="11.5" style="56" customWidth="1"/>
    <col min="12050" max="12050" width="6.1640625" style="56" customWidth="1"/>
    <col min="12051" max="12051" width="22.83203125" style="56" customWidth="1"/>
    <col min="12052" max="12052" width="11.5" style="56" customWidth="1"/>
    <col min="12053" max="12053" width="13.83203125" style="56" customWidth="1"/>
    <col min="12054" max="12054" width="5.83203125" style="56" customWidth="1"/>
    <col min="12055" max="12055" width="15.5" style="56" customWidth="1"/>
    <col min="12056" max="12296" width="11.5" style="56"/>
    <col min="12297" max="12297" width="0.5" style="56" customWidth="1"/>
    <col min="12298" max="12298" width="3.1640625" style="56" customWidth="1"/>
    <col min="12299" max="12299" width="8.83203125" style="56" customWidth="1"/>
    <col min="12300" max="12300" width="14.83203125" style="56" customWidth="1"/>
    <col min="12301" max="12302" width="6.5" style="56" customWidth="1"/>
    <col min="12303" max="12303" width="14.83203125" style="56" customWidth="1"/>
    <col min="12304" max="12305" width="11.5" style="56" customWidth="1"/>
    <col min="12306" max="12306" width="6.1640625" style="56" customWidth="1"/>
    <col min="12307" max="12307" width="22.83203125" style="56" customWidth="1"/>
    <col min="12308" max="12308" width="11.5" style="56" customWidth="1"/>
    <col min="12309" max="12309" width="13.83203125" style="56" customWidth="1"/>
    <col min="12310" max="12310" width="5.83203125" style="56" customWidth="1"/>
    <col min="12311" max="12311" width="15.5" style="56" customWidth="1"/>
    <col min="12312" max="12552" width="11.5" style="56"/>
    <col min="12553" max="12553" width="0.5" style="56" customWidth="1"/>
    <col min="12554" max="12554" width="3.1640625" style="56" customWidth="1"/>
    <col min="12555" max="12555" width="8.83203125" style="56" customWidth="1"/>
    <col min="12556" max="12556" width="14.83203125" style="56" customWidth="1"/>
    <col min="12557" max="12558" width="6.5" style="56" customWidth="1"/>
    <col min="12559" max="12559" width="14.83203125" style="56" customWidth="1"/>
    <col min="12560" max="12561" width="11.5" style="56" customWidth="1"/>
    <col min="12562" max="12562" width="6.1640625" style="56" customWidth="1"/>
    <col min="12563" max="12563" width="22.83203125" style="56" customWidth="1"/>
    <col min="12564" max="12564" width="11.5" style="56" customWidth="1"/>
    <col min="12565" max="12565" width="13.83203125" style="56" customWidth="1"/>
    <col min="12566" max="12566" width="5.83203125" style="56" customWidth="1"/>
    <col min="12567" max="12567" width="15.5" style="56" customWidth="1"/>
    <col min="12568" max="12808" width="11.5" style="56"/>
    <col min="12809" max="12809" width="0.5" style="56" customWidth="1"/>
    <col min="12810" max="12810" width="3.1640625" style="56" customWidth="1"/>
    <col min="12811" max="12811" width="8.83203125" style="56" customWidth="1"/>
    <col min="12812" max="12812" width="14.83203125" style="56" customWidth="1"/>
    <col min="12813" max="12814" width="6.5" style="56" customWidth="1"/>
    <col min="12815" max="12815" width="14.83203125" style="56" customWidth="1"/>
    <col min="12816" max="12817" width="11.5" style="56" customWidth="1"/>
    <col min="12818" max="12818" width="6.1640625" style="56" customWidth="1"/>
    <col min="12819" max="12819" width="22.83203125" style="56" customWidth="1"/>
    <col min="12820" max="12820" width="11.5" style="56" customWidth="1"/>
    <col min="12821" max="12821" width="13.83203125" style="56" customWidth="1"/>
    <col min="12822" max="12822" width="5.83203125" style="56" customWidth="1"/>
    <col min="12823" max="12823" width="15.5" style="56" customWidth="1"/>
    <col min="12824" max="13064" width="11.5" style="56"/>
    <col min="13065" max="13065" width="0.5" style="56" customWidth="1"/>
    <col min="13066" max="13066" width="3.1640625" style="56" customWidth="1"/>
    <col min="13067" max="13067" width="8.83203125" style="56" customWidth="1"/>
    <col min="13068" max="13068" width="14.83203125" style="56" customWidth="1"/>
    <col min="13069" max="13070" width="6.5" style="56" customWidth="1"/>
    <col min="13071" max="13071" width="14.83203125" style="56" customWidth="1"/>
    <col min="13072" max="13073" width="11.5" style="56" customWidth="1"/>
    <col min="13074" max="13074" width="6.1640625" style="56" customWidth="1"/>
    <col min="13075" max="13075" width="22.83203125" style="56" customWidth="1"/>
    <col min="13076" max="13076" width="11.5" style="56" customWidth="1"/>
    <col min="13077" max="13077" width="13.83203125" style="56" customWidth="1"/>
    <col min="13078" max="13078" width="5.83203125" style="56" customWidth="1"/>
    <col min="13079" max="13079" width="15.5" style="56" customWidth="1"/>
    <col min="13080" max="13320" width="11.5" style="56"/>
    <col min="13321" max="13321" width="0.5" style="56" customWidth="1"/>
    <col min="13322" max="13322" width="3.1640625" style="56" customWidth="1"/>
    <col min="13323" max="13323" width="8.83203125" style="56" customWidth="1"/>
    <col min="13324" max="13324" width="14.83203125" style="56" customWidth="1"/>
    <col min="13325" max="13326" width="6.5" style="56" customWidth="1"/>
    <col min="13327" max="13327" width="14.83203125" style="56" customWidth="1"/>
    <col min="13328" max="13329" width="11.5" style="56" customWidth="1"/>
    <col min="13330" max="13330" width="6.1640625" style="56" customWidth="1"/>
    <col min="13331" max="13331" width="22.83203125" style="56" customWidth="1"/>
    <col min="13332" max="13332" width="11.5" style="56" customWidth="1"/>
    <col min="13333" max="13333" width="13.83203125" style="56" customWidth="1"/>
    <col min="13334" max="13334" width="5.83203125" style="56" customWidth="1"/>
    <col min="13335" max="13335" width="15.5" style="56" customWidth="1"/>
    <col min="13336" max="13576" width="11.5" style="56"/>
    <col min="13577" max="13577" width="0.5" style="56" customWidth="1"/>
    <col min="13578" max="13578" width="3.1640625" style="56" customWidth="1"/>
    <col min="13579" max="13579" width="8.83203125" style="56" customWidth="1"/>
    <col min="13580" max="13580" width="14.83203125" style="56" customWidth="1"/>
    <col min="13581" max="13582" width="6.5" style="56" customWidth="1"/>
    <col min="13583" max="13583" width="14.83203125" style="56" customWidth="1"/>
    <col min="13584" max="13585" width="11.5" style="56" customWidth="1"/>
    <col min="13586" max="13586" width="6.1640625" style="56" customWidth="1"/>
    <col min="13587" max="13587" width="22.83203125" style="56" customWidth="1"/>
    <col min="13588" max="13588" width="11.5" style="56" customWidth="1"/>
    <col min="13589" max="13589" width="13.83203125" style="56" customWidth="1"/>
    <col min="13590" max="13590" width="5.83203125" style="56" customWidth="1"/>
    <col min="13591" max="13591" width="15.5" style="56" customWidth="1"/>
    <col min="13592" max="13832" width="11.5" style="56"/>
    <col min="13833" max="13833" width="0.5" style="56" customWidth="1"/>
    <col min="13834" max="13834" width="3.1640625" style="56" customWidth="1"/>
    <col min="13835" max="13835" width="8.83203125" style="56" customWidth="1"/>
    <col min="13836" max="13836" width="14.83203125" style="56" customWidth="1"/>
    <col min="13837" max="13838" width="6.5" style="56" customWidth="1"/>
    <col min="13839" max="13839" width="14.83203125" style="56" customWidth="1"/>
    <col min="13840" max="13841" width="11.5" style="56" customWidth="1"/>
    <col min="13842" max="13842" width="6.1640625" style="56" customWidth="1"/>
    <col min="13843" max="13843" width="22.83203125" style="56" customWidth="1"/>
    <col min="13844" max="13844" width="11.5" style="56" customWidth="1"/>
    <col min="13845" max="13845" width="13.83203125" style="56" customWidth="1"/>
    <col min="13846" max="13846" width="5.83203125" style="56" customWidth="1"/>
    <col min="13847" max="13847" width="15.5" style="56" customWidth="1"/>
    <col min="13848" max="14088" width="11.5" style="56"/>
    <col min="14089" max="14089" width="0.5" style="56" customWidth="1"/>
    <col min="14090" max="14090" width="3.1640625" style="56" customWidth="1"/>
    <col min="14091" max="14091" width="8.83203125" style="56" customWidth="1"/>
    <col min="14092" max="14092" width="14.83203125" style="56" customWidth="1"/>
    <col min="14093" max="14094" width="6.5" style="56" customWidth="1"/>
    <col min="14095" max="14095" width="14.83203125" style="56" customWidth="1"/>
    <col min="14096" max="14097" width="11.5" style="56" customWidth="1"/>
    <col min="14098" max="14098" width="6.1640625" style="56" customWidth="1"/>
    <col min="14099" max="14099" width="22.83203125" style="56" customWidth="1"/>
    <col min="14100" max="14100" width="11.5" style="56" customWidth="1"/>
    <col min="14101" max="14101" width="13.83203125" style="56" customWidth="1"/>
    <col min="14102" max="14102" width="5.83203125" style="56" customWidth="1"/>
    <col min="14103" max="14103" width="15.5" style="56" customWidth="1"/>
    <col min="14104" max="14344" width="11.5" style="56"/>
    <col min="14345" max="14345" width="0.5" style="56" customWidth="1"/>
    <col min="14346" max="14346" width="3.1640625" style="56" customWidth="1"/>
    <col min="14347" max="14347" width="8.83203125" style="56" customWidth="1"/>
    <col min="14348" max="14348" width="14.83203125" style="56" customWidth="1"/>
    <col min="14349" max="14350" width="6.5" style="56" customWidth="1"/>
    <col min="14351" max="14351" width="14.83203125" style="56" customWidth="1"/>
    <col min="14352" max="14353" width="11.5" style="56" customWidth="1"/>
    <col min="14354" max="14354" width="6.1640625" style="56" customWidth="1"/>
    <col min="14355" max="14355" width="22.83203125" style="56" customWidth="1"/>
    <col min="14356" max="14356" width="11.5" style="56" customWidth="1"/>
    <col min="14357" max="14357" width="13.83203125" style="56" customWidth="1"/>
    <col min="14358" max="14358" width="5.83203125" style="56" customWidth="1"/>
    <col min="14359" max="14359" width="15.5" style="56" customWidth="1"/>
    <col min="14360" max="14600" width="11.5" style="56"/>
    <col min="14601" max="14601" width="0.5" style="56" customWidth="1"/>
    <col min="14602" max="14602" width="3.1640625" style="56" customWidth="1"/>
    <col min="14603" max="14603" width="8.83203125" style="56" customWidth="1"/>
    <col min="14604" max="14604" width="14.83203125" style="56" customWidth="1"/>
    <col min="14605" max="14606" width="6.5" style="56" customWidth="1"/>
    <col min="14607" max="14607" width="14.83203125" style="56" customWidth="1"/>
    <col min="14608" max="14609" width="11.5" style="56" customWidth="1"/>
    <col min="14610" max="14610" width="6.1640625" style="56" customWidth="1"/>
    <col min="14611" max="14611" width="22.83203125" style="56" customWidth="1"/>
    <col min="14612" max="14612" width="11.5" style="56" customWidth="1"/>
    <col min="14613" max="14613" width="13.83203125" style="56" customWidth="1"/>
    <col min="14614" max="14614" width="5.83203125" style="56" customWidth="1"/>
    <col min="14615" max="14615" width="15.5" style="56" customWidth="1"/>
    <col min="14616" max="14856" width="11.5" style="56"/>
    <col min="14857" max="14857" width="0.5" style="56" customWidth="1"/>
    <col min="14858" max="14858" width="3.1640625" style="56" customWidth="1"/>
    <col min="14859" max="14859" width="8.83203125" style="56" customWidth="1"/>
    <col min="14860" max="14860" width="14.83203125" style="56" customWidth="1"/>
    <col min="14861" max="14862" width="6.5" style="56" customWidth="1"/>
    <col min="14863" max="14863" width="14.83203125" style="56" customWidth="1"/>
    <col min="14864" max="14865" width="11.5" style="56" customWidth="1"/>
    <col min="14866" max="14866" width="6.1640625" style="56" customWidth="1"/>
    <col min="14867" max="14867" width="22.83203125" style="56" customWidth="1"/>
    <col min="14868" max="14868" width="11.5" style="56" customWidth="1"/>
    <col min="14869" max="14869" width="13.83203125" style="56" customWidth="1"/>
    <col min="14870" max="14870" width="5.83203125" style="56" customWidth="1"/>
    <col min="14871" max="14871" width="15.5" style="56" customWidth="1"/>
    <col min="14872" max="15112" width="11.5" style="56"/>
    <col min="15113" max="15113" width="0.5" style="56" customWidth="1"/>
    <col min="15114" max="15114" width="3.1640625" style="56" customWidth="1"/>
    <col min="15115" max="15115" width="8.83203125" style="56" customWidth="1"/>
    <col min="15116" max="15116" width="14.83203125" style="56" customWidth="1"/>
    <col min="15117" max="15118" width="6.5" style="56" customWidth="1"/>
    <col min="15119" max="15119" width="14.83203125" style="56" customWidth="1"/>
    <col min="15120" max="15121" width="11.5" style="56" customWidth="1"/>
    <col min="15122" max="15122" width="6.1640625" style="56" customWidth="1"/>
    <col min="15123" max="15123" width="22.83203125" style="56" customWidth="1"/>
    <col min="15124" max="15124" width="11.5" style="56" customWidth="1"/>
    <col min="15125" max="15125" width="13.83203125" style="56" customWidth="1"/>
    <col min="15126" max="15126" width="5.83203125" style="56" customWidth="1"/>
    <col min="15127" max="15127" width="15.5" style="56" customWidth="1"/>
    <col min="15128" max="15368" width="11.5" style="56"/>
    <col min="15369" max="15369" width="0.5" style="56" customWidth="1"/>
    <col min="15370" max="15370" width="3.1640625" style="56" customWidth="1"/>
    <col min="15371" max="15371" width="8.83203125" style="56" customWidth="1"/>
    <col min="15372" max="15372" width="14.83203125" style="56" customWidth="1"/>
    <col min="15373" max="15374" width="6.5" style="56" customWidth="1"/>
    <col min="15375" max="15375" width="14.83203125" style="56" customWidth="1"/>
    <col min="15376" max="15377" width="11.5" style="56" customWidth="1"/>
    <col min="15378" max="15378" width="6.1640625" style="56" customWidth="1"/>
    <col min="15379" max="15379" width="22.83203125" style="56" customWidth="1"/>
    <col min="15380" max="15380" width="11.5" style="56" customWidth="1"/>
    <col min="15381" max="15381" width="13.83203125" style="56" customWidth="1"/>
    <col min="15382" max="15382" width="5.83203125" style="56" customWidth="1"/>
    <col min="15383" max="15383" width="15.5" style="56" customWidth="1"/>
    <col min="15384" max="15624" width="11.5" style="56"/>
    <col min="15625" max="15625" width="0.5" style="56" customWidth="1"/>
    <col min="15626" max="15626" width="3.1640625" style="56" customWidth="1"/>
    <col min="15627" max="15627" width="8.83203125" style="56" customWidth="1"/>
    <col min="15628" max="15628" width="14.83203125" style="56" customWidth="1"/>
    <col min="15629" max="15630" width="6.5" style="56" customWidth="1"/>
    <col min="15631" max="15631" width="14.83203125" style="56" customWidth="1"/>
    <col min="15632" max="15633" width="11.5" style="56" customWidth="1"/>
    <col min="15634" max="15634" width="6.1640625" style="56" customWidth="1"/>
    <col min="15635" max="15635" width="22.83203125" style="56" customWidth="1"/>
    <col min="15636" max="15636" width="11.5" style="56" customWidth="1"/>
    <col min="15637" max="15637" width="13.83203125" style="56" customWidth="1"/>
    <col min="15638" max="15638" width="5.83203125" style="56" customWidth="1"/>
    <col min="15639" max="15639" width="15.5" style="56" customWidth="1"/>
    <col min="15640" max="15880" width="11.5" style="56"/>
    <col min="15881" max="15881" width="0.5" style="56" customWidth="1"/>
    <col min="15882" max="15882" width="3.1640625" style="56" customWidth="1"/>
    <col min="15883" max="15883" width="8.83203125" style="56" customWidth="1"/>
    <col min="15884" max="15884" width="14.83203125" style="56" customWidth="1"/>
    <col min="15885" max="15886" width="6.5" style="56" customWidth="1"/>
    <col min="15887" max="15887" width="14.83203125" style="56" customWidth="1"/>
    <col min="15888" max="15889" width="11.5" style="56" customWidth="1"/>
    <col min="15890" max="15890" width="6.1640625" style="56" customWidth="1"/>
    <col min="15891" max="15891" width="22.83203125" style="56" customWidth="1"/>
    <col min="15892" max="15892" width="11.5" style="56" customWidth="1"/>
    <col min="15893" max="15893" width="13.83203125" style="56" customWidth="1"/>
    <col min="15894" max="15894" width="5.83203125" style="56" customWidth="1"/>
    <col min="15895" max="15895" width="15.5" style="56" customWidth="1"/>
    <col min="15896" max="16136" width="11.5" style="56"/>
    <col min="16137" max="16137" width="0.5" style="56" customWidth="1"/>
    <col min="16138" max="16138" width="3.1640625" style="56" customWidth="1"/>
    <col min="16139" max="16139" width="8.83203125" style="56" customWidth="1"/>
    <col min="16140" max="16140" width="14.83203125" style="56" customWidth="1"/>
    <col min="16141" max="16142" width="6.5" style="56" customWidth="1"/>
    <col min="16143" max="16143" width="14.83203125" style="56" customWidth="1"/>
    <col min="16144" max="16145" width="11.5" style="56" customWidth="1"/>
    <col min="16146" max="16146" width="6.1640625" style="56" customWidth="1"/>
    <col min="16147" max="16147" width="22.83203125" style="56" customWidth="1"/>
    <col min="16148" max="16148" width="11.5" style="56" customWidth="1"/>
    <col min="16149" max="16149" width="13.83203125" style="56" customWidth="1"/>
    <col min="16150" max="16150" width="5.83203125" style="56" customWidth="1"/>
    <col min="16151" max="16151" width="15.5" style="56" customWidth="1"/>
    <col min="16152" max="16384" width="11.5" style="56"/>
  </cols>
  <sheetData>
    <row r="1" spans="1:34" ht="8" customHeight="1">
      <c r="Q1" s="91"/>
      <c r="R1" s="91"/>
    </row>
    <row r="2" spans="1:34" ht="5" customHeight="1" thickBot="1">
      <c r="Q2" s="89"/>
      <c r="R2" s="89"/>
    </row>
    <row r="3" spans="1:34" s="57" customFormat="1" ht="17" customHeight="1">
      <c r="A3" s="472"/>
      <c r="B3" s="576" t="s">
        <v>115</v>
      </c>
      <c r="C3" s="577"/>
      <c r="D3" s="577"/>
      <c r="E3" s="577"/>
      <c r="F3" s="577"/>
      <c r="G3" s="577"/>
      <c r="H3" s="577"/>
      <c r="I3" s="577"/>
      <c r="J3" s="578"/>
      <c r="K3" s="95"/>
      <c r="L3" s="58"/>
      <c r="M3" s="58"/>
      <c r="N3" s="92"/>
      <c r="O3" s="93"/>
      <c r="Q3" s="90"/>
      <c r="R3" s="90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301"/>
    </row>
    <row r="4" spans="1:34" ht="6" customHeight="1" thickBot="1">
      <c r="B4" s="579"/>
      <c r="C4" s="580"/>
      <c r="D4" s="580"/>
      <c r="E4" s="580"/>
      <c r="F4" s="580"/>
      <c r="G4" s="580"/>
      <c r="H4" s="580"/>
      <c r="I4" s="580"/>
      <c r="J4" s="581"/>
      <c r="K4" s="95"/>
      <c r="L4" s="58"/>
      <c r="M4" s="58"/>
      <c r="N4" s="93"/>
      <c r="O4" s="93"/>
      <c r="P4" s="58"/>
      <c r="Q4" s="59"/>
      <c r="R4" s="59"/>
    </row>
    <row r="5" spans="1:34" ht="15" customHeight="1">
      <c r="B5" s="582" t="s">
        <v>283</v>
      </c>
      <c r="C5" s="583"/>
      <c r="D5" s="583"/>
      <c r="E5" s="583"/>
      <c r="F5" s="583" t="s">
        <v>27</v>
      </c>
      <c r="G5" s="583"/>
      <c r="H5" s="583"/>
      <c r="I5" s="583"/>
      <c r="J5" s="589"/>
      <c r="K5" s="584" t="s">
        <v>142</v>
      </c>
      <c r="L5" s="585"/>
      <c r="M5" s="585"/>
      <c r="N5" s="585" t="s">
        <v>365</v>
      </c>
      <c r="O5" s="585"/>
      <c r="P5" s="588"/>
      <c r="Q5" s="345" t="s">
        <v>143</v>
      </c>
      <c r="R5" s="92"/>
    </row>
    <row r="6" spans="1:34" ht="17" customHeight="1" thickBot="1">
      <c r="B6" s="592" t="str">
        <f>IF(Start!$D$4="","Dr. Max Mustermann",Start!$D$4)</f>
        <v>Dr. Max Mustermann</v>
      </c>
      <c r="C6" s="593"/>
      <c r="D6" s="593"/>
      <c r="E6" s="593"/>
      <c r="F6" s="593" t="str">
        <f>Start!$D$8</f>
        <v>Ärztin/Arzt in Ausbildung_BSO1994</v>
      </c>
      <c r="G6" s="593"/>
      <c r="H6" s="593"/>
      <c r="I6" s="593"/>
      <c r="J6" s="594"/>
      <c r="K6" s="590">
        <f>IF(SUM(N14:O44,L13:L44,AA51:AD51,AA52:AB52)=0,Datenblatt!J102,SUM(N14:O44,L13:L44,AA51:AD51,AA52:AB52,AH51:AH52))</f>
        <v>201.60000000000002</v>
      </c>
      <c r="L6" s="591"/>
      <c r="M6" s="591"/>
      <c r="N6" s="586">
        <f>COUNTIF(D14:E44,"ND")+COUNTIF(D14:E44,"ND12,5")</f>
        <v>0</v>
      </c>
      <c r="O6" s="586"/>
      <c r="P6" s="587"/>
      <c r="Q6" s="346">
        <f>IF(OR(Start!$D$10="",Start!$E$10=""),"",IF(Start!$D$8=Gehalt!$K$32,VLOOKUP($H$8,Gehalt!$A$4:$I$22,3,FALSE),IF(Start!$D$8=Gehalt!$K$33,VLOOKUP($H$8,Gehalt!$A$4:$I$22,4,FALSE),IF(Start!$D$8=Gehalt!$K$34,VLOOKUP($H$8,Gehalt!$A$4:$I$22,5,FALSE),IF(Start!$D$8=Gehalt!$K$35,VLOOKUP($H$8,Gehalt!$A$4:$I$22,6,FALSE),IF(Start!$D$8=Gehalt!$K$36,VLOOKUP($H$8,Gehalt!$A$4:$I$22,7,FALSE),IF(Start!$D$8=Gehalt!$K$37,VLOOKUP($H$8,Gehalt!$A$4:$I$22,6,FALSE),IF(Start!$D$8=Gehalt!$K$38,VLOOKUP($H$8,Gehalt!$A$4:$I$22,8,FALSE),IF(Start!$D$8=Gehalt!$K$39,VLOOKUP($H$8,Gehalt!$A$4:$I$22,8,FALSE),IF(Start!$D$8=Gehalt!$K$40,VLOOKUP($H$8,Gehalt!$A$4:$I$22,9,FALSE),IF(Start!$D$8=Gehalt!$K$41,VLOOKUP($H$8,Gehalt!$A$4:$I$22,9,FALSE))))))))))))</f>
        <v>5365.31</v>
      </c>
      <c r="R6" s="92"/>
      <c r="S6" s="92"/>
    </row>
    <row r="7" spans="1:34" ht="15" customHeight="1">
      <c r="B7" s="582" t="s">
        <v>26</v>
      </c>
      <c r="C7" s="583"/>
      <c r="D7" s="108" t="s">
        <v>25</v>
      </c>
      <c r="E7" s="583" t="s">
        <v>43</v>
      </c>
      <c r="F7" s="583"/>
      <c r="G7" s="583"/>
      <c r="H7" s="583" t="s">
        <v>91</v>
      </c>
      <c r="I7" s="583"/>
      <c r="J7" s="589"/>
      <c r="K7" s="584" t="s">
        <v>80</v>
      </c>
      <c r="L7" s="585"/>
      <c r="M7" s="585"/>
      <c r="N7" s="585" t="s">
        <v>81</v>
      </c>
      <c r="O7" s="585"/>
      <c r="P7" s="588"/>
      <c r="Q7" s="345" t="s">
        <v>144</v>
      </c>
      <c r="R7" s="191"/>
      <c r="S7" s="101"/>
      <c r="U7" s="242"/>
      <c r="AA7" s="242"/>
    </row>
    <row r="8" spans="1:34" s="59" customFormat="1" ht="17" customHeight="1" thickBot="1">
      <c r="A8" s="471"/>
      <c r="B8" s="595">
        <f>DATE($D$8,3,1)</f>
        <v>45352</v>
      </c>
      <c r="C8" s="596"/>
      <c r="D8" s="349">
        <f>Start!$D$2</f>
        <v>2024</v>
      </c>
      <c r="E8" s="601">
        <f>($K$6)/((VLOOKUP($B$8,Datenblatt!$A$100:$G$112,7,FALSE)*0.2)-(0.2*$D$59))</f>
        <v>48</v>
      </c>
      <c r="F8" s="601"/>
      <c r="G8" s="601"/>
      <c r="H8" s="602">
        <f>IF(OR(Start!$D$10="",Start!$E$10=""),"",IF(($C$14&lt;Start!$D$10),Start!$E$10,VLOOKUP(Start!$E$10,Gehalt!$A$4:$B$22,2,FALSE)))</f>
        <v>4</v>
      </c>
      <c r="I8" s="602"/>
      <c r="J8" s="603"/>
      <c r="K8" s="597">
        <f>SUM(M13:M44)</f>
        <v>0</v>
      </c>
      <c r="L8" s="598"/>
      <c r="M8" s="598"/>
      <c r="N8" s="591">
        <f>VLOOKUP($B$8,Datenblatt!A100:F112,6,FALSE)</f>
        <v>168</v>
      </c>
      <c r="O8" s="591"/>
      <c r="P8" s="599"/>
      <c r="Q8" s="346">
        <f ca="1">IF($L$50="","",SUM($L$50:$L$59))</f>
        <v>5365.31</v>
      </c>
      <c r="R8" s="100"/>
      <c r="S8" s="101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302"/>
    </row>
    <row r="9" spans="1:34" s="60" customFormat="1" ht="4.25" customHeight="1">
      <c r="A9" s="473"/>
      <c r="B9" s="559" t="s">
        <v>116</v>
      </c>
      <c r="C9" s="560"/>
      <c r="D9" s="565" t="s">
        <v>124</v>
      </c>
      <c r="E9" s="565" t="s">
        <v>174</v>
      </c>
      <c r="F9" s="568" t="s">
        <v>79</v>
      </c>
      <c r="G9" s="569"/>
      <c r="H9" s="568" t="s">
        <v>109</v>
      </c>
      <c r="I9" s="569"/>
      <c r="J9" s="565" t="s">
        <v>117</v>
      </c>
      <c r="K9" s="556" t="s">
        <v>82</v>
      </c>
      <c r="L9" s="556" t="s">
        <v>130</v>
      </c>
      <c r="M9" s="556" t="s">
        <v>114</v>
      </c>
      <c r="N9" s="556" t="s">
        <v>79</v>
      </c>
      <c r="O9" s="556" t="s">
        <v>109</v>
      </c>
      <c r="P9" s="553" t="s">
        <v>134</v>
      </c>
      <c r="Q9" s="535" t="s">
        <v>125</v>
      </c>
      <c r="R9" s="537" t="s">
        <v>173</v>
      </c>
      <c r="S9" s="573" t="s">
        <v>165</v>
      </c>
      <c r="T9" s="233"/>
      <c r="U9" s="234"/>
      <c r="V9" s="234"/>
      <c r="W9" s="234"/>
      <c r="X9" s="234"/>
      <c r="Y9" s="234"/>
      <c r="Z9" s="233"/>
      <c r="AA9" s="234"/>
      <c r="AB9" s="234"/>
      <c r="AC9" s="234"/>
      <c r="AD9" s="234"/>
      <c r="AE9" s="234"/>
      <c r="AF9" s="234"/>
      <c r="AG9" s="234"/>
      <c r="AH9" s="301"/>
    </row>
    <row r="10" spans="1:34" ht="14.5" customHeight="1">
      <c r="B10" s="561"/>
      <c r="C10" s="562"/>
      <c r="D10" s="566"/>
      <c r="E10" s="566"/>
      <c r="F10" s="570"/>
      <c r="G10" s="571"/>
      <c r="H10" s="570"/>
      <c r="I10" s="571"/>
      <c r="J10" s="566"/>
      <c r="K10" s="557"/>
      <c r="L10" s="557"/>
      <c r="M10" s="557"/>
      <c r="N10" s="557"/>
      <c r="O10" s="557"/>
      <c r="P10" s="554"/>
      <c r="Q10" s="535"/>
      <c r="R10" s="535"/>
      <c r="S10" s="574"/>
      <c r="T10" s="233"/>
      <c r="U10" s="572" t="s">
        <v>108</v>
      </c>
      <c r="V10" s="572"/>
      <c r="W10" s="572"/>
      <c r="X10" s="572"/>
      <c r="Y10" s="572"/>
      <c r="Z10" s="249"/>
      <c r="AA10" s="572" t="s">
        <v>168</v>
      </c>
      <c r="AB10" s="572"/>
      <c r="AC10" s="572"/>
      <c r="AD10" s="572"/>
      <c r="AE10" s="572"/>
      <c r="AF10" s="552" t="s">
        <v>232</v>
      </c>
      <c r="AG10" s="552" t="s">
        <v>233</v>
      </c>
    </row>
    <row r="11" spans="1:34" ht="13" customHeight="1" thickBot="1">
      <c r="B11" s="563"/>
      <c r="C11" s="564"/>
      <c r="D11" s="567"/>
      <c r="E11" s="567"/>
      <c r="F11" s="97" t="s">
        <v>14</v>
      </c>
      <c r="G11" s="98" t="s">
        <v>15</v>
      </c>
      <c r="H11" s="97" t="s">
        <v>14</v>
      </c>
      <c r="I11" s="98" t="s">
        <v>15</v>
      </c>
      <c r="J11" s="567"/>
      <c r="K11" s="558"/>
      <c r="L11" s="558"/>
      <c r="M11" s="558"/>
      <c r="N11" s="558"/>
      <c r="O11" s="558"/>
      <c r="P11" s="555"/>
      <c r="Q11" s="536"/>
      <c r="R11" s="536"/>
      <c r="S11" s="575"/>
      <c r="T11" s="109"/>
      <c r="U11" s="245" t="s">
        <v>105</v>
      </c>
      <c r="V11" s="246" t="s">
        <v>106</v>
      </c>
      <c r="W11" s="247" t="s">
        <v>107</v>
      </c>
      <c r="X11" s="246" t="s">
        <v>176</v>
      </c>
      <c r="Y11" s="246" t="s">
        <v>175</v>
      </c>
      <c r="Z11" s="248"/>
      <c r="AA11" s="245" t="s">
        <v>105</v>
      </c>
      <c r="AB11" s="246" t="s">
        <v>106</v>
      </c>
      <c r="AC11" s="246" t="s">
        <v>176</v>
      </c>
      <c r="AD11" s="246" t="s">
        <v>175</v>
      </c>
      <c r="AE11" s="245" t="s">
        <v>229</v>
      </c>
      <c r="AF11" s="552"/>
      <c r="AG11" s="552"/>
      <c r="AH11" s="246" t="s">
        <v>262</v>
      </c>
    </row>
    <row r="12" spans="1:34" ht="0.25" customHeight="1">
      <c r="B12" s="61"/>
      <c r="C12" s="61"/>
      <c r="D12" s="62"/>
      <c r="E12" s="65"/>
      <c r="F12" s="63"/>
      <c r="G12" s="63"/>
      <c r="H12" s="63"/>
      <c r="I12" s="63"/>
      <c r="J12" s="64"/>
      <c r="K12" s="64"/>
      <c r="L12" s="65"/>
      <c r="M12" s="65"/>
      <c r="N12" s="65"/>
      <c r="O12" s="65"/>
      <c r="P12" s="65"/>
      <c r="S12" s="96"/>
      <c r="T12" s="235"/>
      <c r="U12" s="236"/>
      <c r="V12" s="236"/>
      <c r="Z12" s="236"/>
      <c r="AA12" s="236"/>
      <c r="AB12" s="236"/>
      <c r="AH12" s="303"/>
    </row>
    <row r="13" spans="1:34" ht="13" customHeight="1">
      <c r="A13" s="89" t="str">
        <f>IF(ISERROR(VLOOKUP(C13,Datenblatt!$B$84:$B$97,1,FALSE)),"","Ft")</f>
        <v/>
      </c>
      <c r="B13" s="397">
        <f t="shared" ref="B13:B44" si="0">C13</f>
        <v>45351</v>
      </c>
      <c r="C13" s="149">
        <f>C14-1</f>
        <v>45351</v>
      </c>
      <c r="D13" s="153" t="str">
        <f>IF(Februar!D$42="","",Februar!D$42)</f>
        <v/>
      </c>
      <c r="E13" s="150" t="str">
        <f>IF(Februar!E$42="","",Februar!E$42)</f>
        <v/>
      </c>
      <c r="F13" s="150"/>
      <c r="G13" s="150"/>
      <c r="H13" s="150"/>
      <c r="I13" s="150"/>
      <c r="J13" s="252"/>
      <c r="K13" s="252"/>
      <c r="L13" s="170" t="str">
        <f>IF(D13="ND",9,IF(D13="ND12,5",8.5,""))</f>
        <v/>
      </c>
      <c r="M13" s="170" t="str">
        <f>IF(D13="ND",9,IF(D13="ND12,5",8.5,""))</f>
        <v/>
      </c>
      <c r="N13" s="600" t="str">
        <f>IF(OR(D13="ND",D13="ND12,5"),"Übertrag Vormonat","")</f>
        <v/>
      </c>
      <c r="O13" s="600"/>
      <c r="P13" s="193"/>
      <c r="Q13" s="174"/>
      <c r="R13" s="151"/>
      <c r="S13" s="152"/>
      <c r="T13" s="205"/>
      <c r="U13" s="206"/>
      <c r="V13" s="207"/>
      <c r="W13" s="207"/>
      <c r="X13" s="253"/>
      <c r="Y13" s="253"/>
      <c r="Z13" s="111" t="str">
        <f t="shared" ref="Z13" si="1">IF(E13="ND",25,IF(E13="ND12,5",12.5,""))</f>
        <v/>
      </c>
      <c r="AA13" s="206"/>
      <c r="AB13" s="208"/>
      <c r="AC13" s="208"/>
      <c r="AD13" s="208"/>
      <c r="AE13" s="208"/>
      <c r="AF13" s="112"/>
      <c r="AG13" s="112"/>
      <c r="AH13" s="304"/>
    </row>
    <row r="14" spans="1:34" ht="13" customHeight="1">
      <c r="A14" s="89" t="str">
        <f>IF(ISERROR(VLOOKUP(C14,Datenblatt!$B$84:$B$97,1,FALSE)),"","Ft")</f>
        <v/>
      </c>
      <c r="B14" s="84">
        <f t="shared" si="0"/>
        <v>45352</v>
      </c>
      <c r="C14" s="85">
        <f>DATE($D$8,MONTH(B$8),1)</f>
        <v>45352</v>
      </c>
      <c r="D14" s="67"/>
      <c r="E14" s="67"/>
      <c r="F14" s="68"/>
      <c r="G14" s="69"/>
      <c r="H14" s="68"/>
      <c r="I14" s="68"/>
      <c r="J14" s="99"/>
      <c r="K14" s="21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20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10" t="str">
        <f>IF(D14="","",IF(E13="ND",VLOOKUP(D14,Datenblatt!$A$2:$C$31,3,FALSE)-1,IF(E13="ND12,5",VLOOKUP(D14,Datenblatt!$A$2:$C$31,3,FALSE)-0.5,VLOOKUP(D14,Datenblatt!$A$2:$C$31,3,FALSE))))</f>
        <v/>
      </c>
      <c r="N14" s="211" t="str">
        <f t="shared" ref="N14:N44" si="2">IF(AND(F14="",G14=""),"",IF(OR(F14&gt;G14,AND(F14="",G14&gt;0),F14=G14),"ungültig",IF(OR(WEEKDAY(B14,2)=7,A14="Ft"),0,(G14-F14)*24)))</f>
        <v/>
      </c>
      <c r="O14" s="211" t="str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86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103" t="str">
        <f>IF(D14="","",VLOOKUP(D14,Datenblatt!$A$2:$D$31,4,FALSE))</f>
        <v/>
      </c>
      <c r="R14" s="104" t="str">
        <f>IF(E14="","",VLOOKUP(E14,Datenblatt!$E$2:$G$28,2,FALSE))</f>
        <v/>
      </c>
      <c r="S14" s="105"/>
      <c r="T14" s="111">
        <f>IF(K14="",0,K14)</f>
        <v>0</v>
      </c>
      <c r="U14" s="110"/>
      <c r="V14" s="112"/>
      <c r="W14" s="113"/>
      <c r="X14" s="254"/>
      <c r="Y14" s="254"/>
      <c r="Z14" s="111" t="str">
        <f>IF(E14="ND",25,IF(E14="ND12,5",12.5,""))</f>
        <v/>
      </c>
      <c r="AA14" s="214">
        <f>IF(E13="ND",IF(ISERROR(MATCH(D14,Datenblatt!$L$2:$L$18,0)),3,2),IF(E13="ND12,5",IF(ISERROR(MATCH(D14,Datenblatt!$L$2:$L$18,0)),2.5,2),0))</f>
        <v>0</v>
      </c>
      <c r="AB14" s="214">
        <f>IF((IF(E14="ND",14-IF(D14="",0,VLOOKUP(D14,Datenblatt!$L$2:$M$30,2,FALSE)),IF(E14="ND12,5",2,0)))&lt;0,0,(IF(E14="ND",14-IF(D14="",0,VLOOKUP(D14,Datenblatt!$L$2:$M$30,2,FALSE)),IF(E14="ND12,5",2,0))))</f>
        <v>0</v>
      </c>
      <c r="AC14" s="214">
        <f>IF(OR(E14="ND",E14="ND12,5"),2,0)</f>
        <v>0</v>
      </c>
      <c r="AD14" s="214">
        <f>IF(OR(E13="ND",E13="ND12,5"),6,0)</f>
        <v>0</v>
      </c>
      <c r="AE14" s="214">
        <f>IF(AND(E13="ND",AA14&gt;=2),1,IF(AND(E13="ND12,5",AA14&gt;=2),0.5,0))</f>
        <v>0</v>
      </c>
      <c r="AF14" s="112">
        <f>IF(OR(D14="ND",D14="ND12,5"),2-X14,0)</f>
        <v>0</v>
      </c>
      <c r="AG14" s="112">
        <f>IF(OR(D13="ND",D13="ND12,5"),6-Y14,0)</f>
        <v>0</v>
      </c>
      <c r="AH14" s="112">
        <f>IF(E14="",0,VLOOKUP(E14,Datenblatt!$E$2:$G$28,3,FALSE))</f>
        <v>0</v>
      </c>
    </row>
    <row r="15" spans="1:34" ht="13" customHeight="1">
      <c r="A15" s="89" t="str">
        <f>IF(ISERROR(VLOOKUP(C15,Datenblatt!$B$84:$B$97,1,FALSE)),"","Ft")</f>
        <v/>
      </c>
      <c r="B15" s="84">
        <f t="shared" si="0"/>
        <v>45353</v>
      </c>
      <c r="C15" s="86">
        <f t="shared" ref="C15:C41" si="4">C14+1</f>
        <v>45353</v>
      </c>
      <c r="D15" s="67"/>
      <c r="E15" s="67"/>
      <c r="F15" s="68"/>
      <c r="G15" s="69"/>
      <c r="H15" s="68"/>
      <c r="I15" s="68"/>
      <c r="J15" s="99"/>
      <c r="K15" s="21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20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10" t="str">
        <f>IF(D15="","",IF(E14="ND",VLOOKUP(D15,Datenblatt!$A$2:$C$31,3,FALSE)-1,IF(E14="ND12,5",VLOOKUP(D15,Datenblatt!$A$2:$C$31,3,FALSE)-0.5,VLOOKUP(D15,Datenblatt!$A$2:$C$31,3,FALSE))))</f>
        <v/>
      </c>
      <c r="N15" s="211" t="str">
        <f t="shared" si="2"/>
        <v/>
      </c>
      <c r="O15" s="211" t="str">
        <f t="shared" si="3"/>
        <v/>
      </c>
      <c r="P15" s="186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103" t="str">
        <f>IF(D15="","",VLOOKUP(D15,Datenblatt!$A$2:$D$31,4,FALSE))</f>
        <v/>
      </c>
      <c r="R15" s="104" t="str">
        <f>IF(E15="","",VLOOKUP(E15,Datenblatt!$E$2:$G$28,2,FALSE))</f>
        <v/>
      </c>
      <c r="S15" s="105"/>
      <c r="T15" s="111">
        <f t="shared" ref="T15:T44" si="5">IF(K15="",0,K15)</f>
        <v>0</v>
      </c>
      <c r="U15" s="114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12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12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54">
        <f t="array" ref="X15">IF(T15=0,0,IF((AND((ROW(T15)=MATCH(TRUE,($T$1:$T$44)&gt;0,0)))),IF(W15&gt;=6,W15-6,0),IF(W15&gt;=2,2,W15)))</f>
        <v>0</v>
      </c>
      <c r="Y15" s="254">
        <f t="array" ref="Y15">IF(T14=0,0,(IF((AND((ROW(T14)=MATCH(TRUE,($T$1:$T$44)&gt;0,0)))),IF(W14&gt;=6,6,W14),IF(W14&gt;=2,W14-2,0))))</f>
        <v>0</v>
      </c>
      <c r="Z15" s="111" t="str">
        <f t="shared" ref="Z15:Z44" si="6">IF(E15="ND",25,IF(E15="ND12,5",12.5,""))</f>
        <v/>
      </c>
      <c r="AA15" s="214">
        <f>IF(E14="ND",IF(ISERROR(MATCH(D15,Datenblatt!$L$2:$L$18,0)),3,2),IF(E14="ND12,5",IF(ISERROR(MATCH(D15,Datenblatt!$L$2:$L$18,0)),2.5,2),0))</f>
        <v>0</v>
      </c>
      <c r="AB15" s="214">
        <f>IF((IF(E15="ND",14-IF(D15="",0,VLOOKUP(D15,Datenblatt!$L$2:$M$30,2,FALSE)),IF(E15="ND12,5",2,0)))&lt;0,0,(IF(E15="ND",14-IF(D15="",0,VLOOKUP(D15,Datenblatt!$L$2:$M$30,2,FALSE)),IF(E15="ND12,5",2,0))))</f>
        <v>0</v>
      </c>
      <c r="AC15" s="214">
        <f t="shared" ref="AC15:AC44" si="7">IF(OR(E15="ND",E15="ND12,5"),2,0)</f>
        <v>0</v>
      </c>
      <c r="AD15" s="214">
        <f t="shared" ref="AD15:AD44" si="8">IF(OR(E14="ND",E14="ND12,5"),6,0)</f>
        <v>0</v>
      </c>
      <c r="AE15" s="214">
        <f t="shared" ref="AE15:AE44" si="9">IF(AND(E14="ND",AA15&gt;=2),1,IF(AND(E14="ND12,5",AA15&gt;=2),0.5,0))</f>
        <v>0</v>
      </c>
      <c r="AF15" s="112">
        <f t="shared" ref="AF15:AF44" si="10">IF(OR(D15="ND",D15="ND12,5"),2-X15,0)</f>
        <v>0</v>
      </c>
      <c r="AG15" s="112">
        <f t="shared" ref="AG15:AG44" si="11">IF(OR(D14="ND",D14="ND12,5"),6-Y15,0)</f>
        <v>0</v>
      </c>
      <c r="AH15" s="112">
        <f>IF(E15="",0,VLOOKUP(E15,Datenblatt!$E$2:$G$28,3,FALSE))</f>
        <v>0</v>
      </c>
    </row>
    <row r="16" spans="1:34" ht="13" customHeight="1">
      <c r="A16" s="89" t="str">
        <f>IF(ISERROR(VLOOKUP(C16,Datenblatt!$B$84:$B$97,1,FALSE)),"","Ft")</f>
        <v/>
      </c>
      <c r="B16" s="84">
        <f t="shared" si="0"/>
        <v>45354</v>
      </c>
      <c r="C16" s="86">
        <f t="shared" si="4"/>
        <v>45354</v>
      </c>
      <c r="D16" s="67"/>
      <c r="E16" s="67"/>
      <c r="F16" s="68"/>
      <c r="G16" s="69"/>
      <c r="H16" s="68"/>
      <c r="I16" s="68"/>
      <c r="J16" s="99"/>
      <c r="K16" s="21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20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10" t="str">
        <f>IF(D16="","",IF(E15="ND",VLOOKUP(D16,Datenblatt!$A$2:$C$31,3,FALSE)-1,IF(E15="ND12,5",VLOOKUP(D16,Datenblatt!$A$2:$C$31,3,FALSE)-0.5,VLOOKUP(D16,Datenblatt!$A$2:$C$31,3,FALSE))))</f>
        <v/>
      </c>
      <c r="N16" s="211" t="str">
        <f t="shared" si="2"/>
        <v/>
      </c>
      <c r="O16" s="211">
        <f t="shared" si="3"/>
        <v>0</v>
      </c>
      <c r="P16" s="186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103" t="str">
        <f>IF(D16="","",VLOOKUP(D16,Datenblatt!$A$2:$D$31,4,FALSE))</f>
        <v/>
      </c>
      <c r="R16" s="104" t="str">
        <f>IF(E16="","",VLOOKUP(E16,Datenblatt!$E$2:$G$28,2,FALSE))</f>
        <v/>
      </c>
      <c r="S16" s="105"/>
      <c r="T16" s="111">
        <f t="shared" si="5"/>
        <v>0</v>
      </c>
      <c r="U16" s="114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12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12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54">
        <f t="array" ref="X16">IF(T16=0,0,IF((AND((ROW(T16)=MATCH(TRUE,($T$1:$T$44)&gt;0,0)))),IF(W16&gt;=6,W16-6,0),IF(W16&gt;=2,2,W16)))</f>
        <v>0</v>
      </c>
      <c r="Y16" s="254">
        <f t="array" ref="Y16">IF(T15=0,0,(IF((AND((ROW(T15)=MATCH(TRUE,($T$1:$T$44)&gt;0,0)))),IF(W15&gt;=6,6,W15),IF(W15&gt;=2,W15-2,0))))</f>
        <v>0</v>
      </c>
      <c r="Z16" s="111" t="str">
        <f t="shared" si="6"/>
        <v/>
      </c>
      <c r="AA16" s="214">
        <f>IF(E15="ND",IF(ISERROR(MATCH(D16,Datenblatt!$L$2:$L$18,0)),3,2),IF(E15="ND12,5",IF(ISERROR(MATCH(D16,Datenblatt!$L$2:$L$18,0)),2.5,2),0))</f>
        <v>0</v>
      </c>
      <c r="AB16" s="214">
        <f>IF((IF(E16="ND",14-IF(D16="",0,VLOOKUP(D16,Datenblatt!$L$2:$M$30,2,FALSE)),IF(E16="ND12,5",2,0)))&lt;0,0,(IF(E16="ND",14-IF(D16="",0,VLOOKUP(D16,Datenblatt!$L$2:$M$30,2,FALSE)),IF(E16="ND12,5",2,0))))</f>
        <v>0</v>
      </c>
      <c r="AC16" s="214">
        <f t="shared" si="7"/>
        <v>0</v>
      </c>
      <c r="AD16" s="214">
        <f t="shared" si="8"/>
        <v>0</v>
      </c>
      <c r="AE16" s="214">
        <f t="shared" si="9"/>
        <v>0</v>
      </c>
      <c r="AF16" s="112">
        <f t="shared" si="10"/>
        <v>0</v>
      </c>
      <c r="AG16" s="112">
        <f t="shared" si="11"/>
        <v>0</v>
      </c>
      <c r="AH16" s="112">
        <f>IF(E16="",0,VLOOKUP(E16,Datenblatt!$E$2:$G$28,3,FALSE))</f>
        <v>0</v>
      </c>
    </row>
    <row r="17" spans="1:34" ht="13" customHeight="1">
      <c r="A17" s="89" t="str">
        <f>IF(ISERROR(VLOOKUP(C17,Datenblatt!$B$84:$B$97,1,FALSE)),"","Ft")</f>
        <v/>
      </c>
      <c r="B17" s="84">
        <f t="shared" si="0"/>
        <v>45355</v>
      </c>
      <c r="C17" s="86">
        <f t="shared" si="4"/>
        <v>45355</v>
      </c>
      <c r="D17" s="67"/>
      <c r="E17" s="67"/>
      <c r="F17" s="68"/>
      <c r="G17" s="69"/>
      <c r="H17" s="68"/>
      <c r="I17" s="68"/>
      <c r="J17" s="99"/>
      <c r="K17" s="21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20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10" t="str">
        <f>IF(D17="","",IF(E16="ND",VLOOKUP(D17,Datenblatt!$A$2:$C$31,3,FALSE)-1,IF(E16="ND12,5",VLOOKUP(D17,Datenblatt!$A$2:$C$31,3,FALSE)-0.5,VLOOKUP(D17,Datenblatt!$A$2:$C$31,3,FALSE))))</f>
        <v/>
      </c>
      <c r="N17" s="211" t="str">
        <f t="shared" si="2"/>
        <v/>
      </c>
      <c r="O17" s="211" t="str">
        <f t="shared" si="3"/>
        <v/>
      </c>
      <c r="P17" s="186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103" t="str">
        <f>IF(D17="","",VLOOKUP(D17,Datenblatt!$A$2:$D$31,4,FALSE))</f>
        <v/>
      </c>
      <c r="R17" s="104" t="str">
        <f>IF(E17="","",VLOOKUP(E17,Datenblatt!$E$2:$G$28,2,FALSE))</f>
        <v/>
      </c>
      <c r="S17" s="105"/>
      <c r="T17" s="111">
        <f t="shared" si="5"/>
        <v>0</v>
      </c>
      <c r="U17" s="114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12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12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54">
        <f t="array" ref="X17">IF(T17=0,0,IF((AND((ROW(T17)=MATCH(TRUE,($T$1:$T$44)&gt;0,0)))),IF(W17&gt;=6,W17-6,0),IF(W17&gt;=2,2,W17)))</f>
        <v>0</v>
      </c>
      <c r="Y17" s="254">
        <f t="array" ref="Y17">IF(T16=0,0,(IF((AND((ROW(T16)=MATCH(TRUE,($T$1:$T$44)&gt;0,0)))),IF(W16&gt;=6,6,W16),IF(W16&gt;=2,W16-2,0))))</f>
        <v>0</v>
      </c>
      <c r="Z17" s="111" t="str">
        <f t="shared" si="6"/>
        <v/>
      </c>
      <c r="AA17" s="214">
        <f>IF(E16="ND",IF(ISERROR(MATCH(D17,Datenblatt!$L$2:$L$18,0)),3,2),IF(E16="ND12,5",IF(ISERROR(MATCH(D17,Datenblatt!$L$2:$L$18,0)),2.5,2),0))</f>
        <v>0</v>
      </c>
      <c r="AB17" s="214">
        <f>IF((IF(E17="ND",14-IF(D17="",0,VLOOKUP(D17,Datenblatt!$L$2:$M$30,2,FALSE)),IF(E17="ND12,5",2,0)))&lt;0,0,(IF(E17="ND",14-IF(D17="",0,VLOOKUP(D17,Datenblatt!$L$2:$M$30,2,FALSE)),IF(E17="ND12,5",2,0))))</f>
        <v>0</v>
      </c>
      <c r="AC17" s="214">
        <f t="shared" si="7"/>
        <v>0</v>
      </c>
      <c r="AD17" s="214">
        <f t="shared" si="8"/>
        <v>0</v>
      </c>
      <c r="AE17" s="214">
        <f t="shared" si="9"/>
        <v>0</v>
      </c>
      <c r="AF17" s="112">
        <f t="shared" si="10"/>
        <v>0</v>
      </c>
      <c r="AG17" s="112">
        <f t="shared" si="11"/>
        <v>0</v>
      </c>
      <c r="AH17" s="112">
        <f>IF(E17="",0,VLOOKUP(E17,Datenblatt!$E$2:$G$28,3,FALSE))</f>
        <v>0</v>
      </c>
    </row>
    <row r="18" spans="1:34" ht="13" customHeight="1">
      <c r="A18" s="89" t="str">
        <f>IF(ISERROR(VLOOKUP(C18,Datenblatt!$B$84:$B$97,1,FALSE)),"","Ft")</f>
        <v/>
      </c>
      <c r="B18" s="84">
        <f t="shared" si="0"/>
        <v>45356</v>
      </c>
      <c r="C18" s="86">
        <f t="shared" si="4"/>
        <v>45356</v>
      </c>
      <c r="D18" s="67"/>
      <c r="E18" s="67"/>
      <c r="F18" s="68"/>
      <c r="G18" s="69"/>
      <c r="H18" s="68"/>
      <c r="I18" s="68"/>
      <c r="J18" s="99"/>
      <c r="K18" s="21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20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10" t="str">
        <f>IF(D18="","",IF(E17="ND",VLOOKUP(D18,Datenblatt!$A$2:$C$31,3,FALSE)-1,IF(E17="ND12,5",VLOOKUP(D18,Datenblatt!$A$2:$C$31,3,FALSE)-0.5,VLOOKUP(D18,Datenblatt!$A$2:$C$31,3,FALSE))))</f>
        <v/>
      </c>
      <c r="N18" s="211" t="str">
        <f t="shared" si="2"/>
        <v/>
      </c>
      <c r="O18" s="211" t="str">
        <f t="shared" si="3"/>
        <v/>
      </c>
      <c r="P18" s="186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103" t="str">
        <f>IF(D18="","",VLOOKUP(D18,Datenblatt!$A$2:$D$31,4,FALSE))</f>
        <v/>
      </c>
      <c r="R18" s="104" t="str">
        <f>IF(E18="","",VLOOKUP(E18,Datenblatt!$E$2:$G$28,2,FALSE))</f>
        <v/>
      </c>
      <c r="S18" s="105"/>
      <c r="T18" s="111">
        <f t="shared" si="5"/>
        <v>0</v>
      </c>
      <c r="U18" s="114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12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12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54">
        <f t="array" ref="X18">IF(T18=0,0,IF((AND((ROW(T18)=MATCH(TRUE,($T$1:$T$44)&gt;0,0)))),IF(W18&gt;=6,W18-6,0),IF(W18&gt;=2,2,W18)))</f>
        <v>0</v>
      </c>
      <c r="Y18" s="254">
        <f t="array" ref="Y18">IF(T17=0,0,(IF((AND((ROW(T17)=MATCH(TRUE,($T$1:$T$44)&gt;0,0)))),IF(W17&gt;=6,6,W17),IF(W17&gt;=2,W17-2,0))))</f>
        <v>0</v>
      </c>
      <c r="Z18" s="111" t="str">
        <f t="shared" si="6"/>
        <v/>
      </c>
      <c r="AA18" s="214">
        <f>IF(E17="ND",IF(ISERROR(MATCH(D18,Datenblatt!$L$2:$L$18,0)),3,2),IF(E17="ND12,5",IF(ISERROR(MATCH(D18,Datenblatt!$L$2:$L$18,0)),2.5,2),0))</f>
        <v>0</v>
      </c>
      <c r="AB18" s="214">
        <f>IF((IF(E18="ND",14-IF(D18="",0,VLOOKUP(D18,Datenblatt!$L$2:$M$30,2,FALSE)),IF(E18="ND12,5",2,0)))&lt;0,0,(IF(E18="ND",14-IF(D18="",0,VLOOKUP(D18,Datenblatt!$L$2:$M$30,2,FALSE)),IF(E18="ND12,5",2,0))))</f>
        <v>0</v>
      </c>
      <c r="AC18" s="214">
        <f t="shared" si="7"/>
        <v>0</v>
      </c>
      <c r="AD18" s="214">
        <f t="shared" si="8"/>
        <v>0</v>
      </c>
      <c r="AE18" s="214">
        <f t="shared" si="9"/>
        <v>0</v>
      </c>
      <c r="AF18" s="112">
        <f t="shared" si="10"/>
        <v>0</v>
      </c>
      <c r="AG18" s="112">
        <f t="shared" si="11"/>
        <v>0</v>
      </c>
      <c r="AH18" s="112">
        <f>IF(E18="",0,VLOOKUP(E18,Datenblatt!$E$2:$G$28,3,FALSE))</f>
        <v>0</v>
      </c>
    </row>
    <row r="19" spans="1:34" ht="13" customHeight="1">
      <c r="A19" s="89" t="str">
        <f>IF(ISERROR(VLOOKUP(C19,Datenblatt!$B$84:$B$97,1,FALSE)),"","Ft")</f>
        <v/>
      </c>
      <c r="B19" s="84">
        <f t="shared" si="0"/>
        <v>45357</v>
      </c>
      <c r="C19" s="86">
        <f t="shared" si="4"/>
        <v>45357</v>
      </c>
      <c r="D19" s="67"/>
      <c r="E19" s="67"/>
      <c r="F19" s="68"/>
      <c r="G19" s="69"/>
      <c r="H19" s="68"/>
      <c r="I19" s="68"/>
      <c r="J19" s="99"/>
      <c r="K19" s="21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20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10" t="str">
        <f>IF(D19="","",IF(E18="ND",VLOOKUP(D19,Datenblatt!$A$2:$C$31,3,FALSE)-1,IF(E18="ND12,5",VLOOKUP(D19,Datenblatt!$A$2:$C$31,3,FALSE)-0.5,VLOOKUP(D19,Datenblatt!$A$2:$C$31,3,FALSE))))</f>
        <v/>
      </c>
      <c r="N19" s="211" t="str">
        <f t="shared" si="2"/>
        <v/>
      </c>
      <c r="O19" s="211" t="str">
        <f t="shared" si="3"/>
        <v/>
      </c>
      <c r="P19" s="186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103" t="str">
        <f>IF(D19="","",VLOOKUP(D19,Datenblatt!$A$2:$D$31,4,FALSE))</f>
        <v/>
      </c>
      <c r="R19" s="104" t="str">
        <f>IF(E19="","",VLOOKUP(E19,Datenblatt!$E$2:$G$28,2,FALSE))</f>
        <v/>
      </c>
      <c r="S19" s="105"/>
      <c r="T19" s="111">
        <f t="shared" si="5"/>
        <v>0</v>
      </c>
      <c r="U19" s="114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12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12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54">
        <f t="array" ref="X19">IF(T19=0,0,IF((AND((ROW(T19)=MATCH(TRUE,($T$1:$T$44)&gt;0,0)))),IF(W19&gt;=6,W19-6,0),IF(W19&gt;=2,2,W19)))</f>
        <v>0</v>
      </c>
      <c r="Y19" s="254">
        <f t="array" ref="Y19">IF(T18=0,0,(IF((AND((ROW(T18)=MATCH(TRUE,($T$1:$T$44)&gt;0,0)))),IF(W18&gt;=6,6,W18),IF(W18&gt;=2,W18-2,0))))</f>
        <v>0</v>
      </c>
      <c r="Z19" s="111" t="str">
        <f t="shared" si="6"/>
        <v/>
      </c>
      <c r="AA19" s="214">
        <f>IF(E18="ND",IF(ISERROR(MATCH(D19,Datenblatt!$L$2:$L$18,0)),3,2),IF(E18="ND12,5",IF(ISERROR(MATCH(D19,Datenblatt!$L$2:$L$18,0)),2.5,2),0))</f>
        <v>0</v>
      </c>
      <c r="AB19" s="214">
        <f>IF((IF(E19="ND",14-IF(D19="",0,VLOOKUP(D19,Datenblatt!$L$2:$M$30,2,FALSE)),IF(E19="ND12,5",2,0)))&lt;0,0,(IF(E19="ND",14-IF(D19="",0,VLOOKUP(D19,Datenblatt!$L$2:$M$30,2,FALSE)),IF(E19="ND12,5",2,0))))</f>
        <v>0</v>
      </c>
      <c r="AC19" s="214">
        <f t="shared" si="7"/>
        <v>0</v>
      </c>
      <c r="AD19" s="214">
        <f t="shared" si="8"/>
        <v>0</v>
      </c>
      <c r="AE19" s="214">
        <f t="shared" si="9"/>
        <v>0</v>
      </c>
      <c r="AF19" s="112">
        <f t="shared" si="10"/>
        <v>0</v>
      </c>
      <c r="AG19" s="112">
        <f t="shared" si="11"/>
        <v>0</v>
      </c>
      <c r="AH19" s="112">
        <f>IF(E19="",0,VLOOKUP(E19,Datenblatt!$E$2:$G$28,3,FALSE))</f>
        <v>0</v>
      </c>
    </row>
    <row r="20" spans="1:34" ht="13" customHeight="1">
      <c r="A20" s="89" t="str">
        <f>IF(ISERROR(VLOOKUP(C20,Datenblatt!$B$84:$B$97,1,FALSE)),"","Ft")</f>
        <v/>
      </c>
      <c r="B20" s="84">
        <f t="shared" si="0"/>
        <v>45358</v>
      </c>
      <c r="C20" s="86">
        <f t="shared" si="4"/>
        <v>45358</v>
      </c>
      <c r="D20" s="67"/>
      <c r="E20" s="67"/>
      <c r="F20" s="68"/>
      <c r="G20" s="69"/>
      <c r="H20" s="68"/>
      <c r="I20" s="68"/>
      <c r="J20" s="99"/>
      <c r="K20" s="21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20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10" t="str">
        <f>IF(D20="","",IF(E19="ND",VLOOKUP(D20,Datenblatt!$A$2:$C$31,3,FALSE)-1,IF(E19="ND12,5",VLOOKUP(D20,Datenblatt!$A$2:$C$31,3,FALSE)-0.5,VLOOKUP(D20,Datenblatt!$A$2:$C$31,3,FALSE))))</f>
        <v/>
      </c>
      <c r="N20" s="211" t="str">
        <f t="shared" si="2"/>
        <v/>
      </c>
      <c r="O20" s="211" t="str">
        <f t="shared" si="3"/>
        <v/>
      </c>
      <c r="P20" s="186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103" t="str">
        <f>IF(D20="","",VLOOKUP(D20,Datenblatt!$A$2:$D$31,4,FALSE))</f>
        <v/>
      </c>
      <c r="R20" s="104" t="str">
        <f>IF(E20="","",VLOOKUP(E20,Datenblatt!$E$2:$G$28,2,FALSE))</f>
        <v/>
      </c>
      <c r="S20" s="105"/>
      <c r="T20" s="111">
        <f t="shared" si="5"/>
        <v>0</v>
      </c>
      <c r="U20" s="114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12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12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54">
        <f t="array" ref="X20">IF(T20=0,0,IF((AND((ROW(T20)=MATCH(TRUE,($T$1:$T$44)&gt;0,0)))),IF(W20&gt;=6,W20-6,0),IF(W20&gt;=2,2,W20)))</f>
        <v>0</v>
      </c>
      <c r="Y20" s="254">
        <f t="array" ref="Y20">IF(T19=0,0,(IF((AND((ROW(T19)=MATCH(TRUE,($T$1:$T$44)&gt;0,0)))),IF(W19&gt;=6,6,W19),IF(W19&gt;=2,W19-2,0))))</f>
        <v>0</v>
      </c>
      <c r="Z20" s="111" t="str">
        <f t="shared" si="6"/>
        <v/>
      </c>
      <c r="AA20" s="214">
        <f>IF(E19="ND",IF(ISERROR(MATCH(D20,Datenblatt!$L$2:$L$18,0)),3,2),IF(E19="ND12,5",IF(ISERROR(MATCH(D20,Datenblatt!$L$2:$L$18,0)),2.5,2),0))</f>
        <v>0</v>
      </c>
      <c r="AB20" s="214">
        <f>IF((IF(E20="ND",14-IF(D20="",0,VLOOKUP(D20,Datenblatt!$L$2:$M$30,2,FALSE)),IF(E20="ND12,5",2,0)))&lt;0,0,(IF(E20="ND",14-IF(D20="",0,VLOOKUP(D20,Datenblatt!$L$2:$M$30,2,FALSE)),IF(E20="ND12,5",2,0))))</f>
        <v>0</v>
      </c>
      <c r="AC20" s="214">
        <f t="shared" si="7"/>
        <v>0</v>
      </c>
      <c r="AD20" s="214">
        <f t="shared" si="8"/>
        <v>0</v>
      </c>
      <c r="AE20" s="214">
        <f t="shared" si="9"/>
        <v>0</v>
      </c>
      <c r="AF20" s="112">
        <f t="shared" si="10"/>
        <v>0</v>
      </c>
      <c r="AG20" s="112">
        <f t="shared" si="11"/>
        <v>0</v>
      </c>
      <c r="AH20" s="112">
        <f>IF(E20="",0,VLOOKUP(E20,Datenblatt!$E$2:$G$28,3,FALSE))</f>
        <v>0</v>
      </c>
    </row>
    <row r="21" spans="1:34" ht="13" customHeight="1">
      <c r="A21" s="89" t="str">
        <f>IF(ISERROR(VLOOKUP(C21,Datenblatt!$B$84:$B$97,1,FALSE)),"","Ft")</f>
        <v/>
      </c>
      <c r="B21" s="84">
        <f t="shared" si="0"/>
        <v>45359</v>
      </c>
      <c r="C21" s="86">
        <f t="shared" si="4"/>
        <v>45359</v>
      </c>
      <c r="D21" s="67"/>
      <c r="E21" s="67"/>
      <c r="F21" s="68"/>
      <c r="G21" s="69"/>
      <c r="H21" s="68"/>
      <c r="I21" s="68"/>
      <c r="J21" s="99"/>
      <c r="K21" s="21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20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10" t="str">
        <f>IF(D21="","",IF(E20="ND",VLOOKUP(D21,Datenblatt!$A$2:$C$31,3,FALSE)-1,IF(E20="ND12,5",VLOOKUP(D21,Datenblatt!$A$2:$C$31,3,FALSE)-0.5,VLOOKUP(D21,Datenblatt!$A$2:$C$31,3,FALSE))))</f>
        <v/>
      </c>
      <c r="N21" s="211" t="str">
        <f t="shared" si="2"/>
        <v/>
      </c>
      <c r="O21" s="211" t="str">
        <f t="shared" si="3"/>
        <v/>
      </c>
      <c r="P21" s="186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103" t="str">
        <f>IF(D21="","",VLOOKUP(D21,Datenblatt!$A$2:$D$31,4,FALSE))</f>
        <v/>
      </c>
      <c r="R21" s="104" t="str">
        <f>IF(E21="","",VLOOKUP(E21,Datenblatt!$E$2:$G$28,2,FALSE))</f>
        <v/>
      </c>
      <c r="S21" s="105"/>
      <c r="T21" s="111">
        <f t="shared" si="5"/>
        <v>0</v>
      </c>
      <c r="U21" s="114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12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12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54">
        <f t="array" ref="X21">IF(T21=0,0,IF((AND((ROW(T21)=MATCH(TRUE,($T$1:$T$44)&gt;0,0)))),IF(W21&gt;=6,W21-6,0),IF(W21&gt;=2,2,W21)))</f>
        <v>0</v>
      </c>
      <c r="Y21" s="254">
        <f t="array" ref="Y21">IF(T20=0,0,(IF((AND((ROW(T20)=MATCH(TRUE,($T$1:$T$44)&gt;0,0)))),IF(W20&gt;=6,6,W20),IF(W20&gt;=2,W20-2,0))))</f>
        <v>0</v>
      </c>
      <c r="Z21" s="111" t="str">
        <f t="shared" si="6"/>
        <v/>
      </c>
      <c r="AA21" s="214">
        <f>IF(E20="ND",IF(ISERROR(MATCH(D21,Datenblatt!$L$2:$L$18,0)),3,2),IF(E20="ND12,5",IF(ISERROR(MATCH(D21,Datenblatt!$L$2:$L$18,0)),2.5,2),0))</f>
        <v>0</v>
      </c>
      <c r="AB21" s="214">
        <f>IF((IF(E21="ND",14-IF(D21="",0,VLOOKUP(D21,Datenblatt!$L$2:$M$30,2,FALSE)),IF(E21="ND12,5",2,0)))&lt;0,0,(IF(E21="ND",14-IF(D21="",0,VLOOKUP(D21,Datenblatt!$L$2:$M$30,2,FALSE)),IF(E21="ND12,5",2,0))))</f>
        <v>0</v>
      </c>
      <c r="AC21" s="214">
        <f t="shared" si="7"/>
        <v>0</v>
      </c>
      <c r="AD21" s="214">
        <f t="shared" si="8"/>
        <v>0</v>
      </c>
      <c r="AE21" s="214">
        <f t="shared" si="9"/>
        <v>0</v>
      </c>
      <c r="AF21" s="112">
        <f t="shared" si="10"/>
        <v>0</v>
      </c>
      <c r="AG21" s="112">
        <f t="shared" si="11"/>
        <v>0</v>
      </c>
      <c r="AH21" s="112">
        <f>IF(E21="",0,VLOOKUP(E21,Datenblatt!$E$2:$G$28,3,FALSE))</f>
        <v>0</v>
      </c>
    </row>
    <row r="22" spans="1:34" ht="13" customHeight="1">
      <c r="A22" s="89" t="str">
        <f>IF(ISERROR(VLOOKUP(C22,Datenblatt!$B$84:$B$97,1,FALSE)),"","Ft")</f>
        <v/>
      </c>
      <c r="B22" s="84">
        <f t="shared" si="0"/>
        <v>45360</v>
      </c>
      <c r="C22" s="86">
        <f t="shared" si="4"/>
        <v>45360</v>
      </c>
      <c r="D22" s="67"/>
      <c r="E22" s="67"/>
      <c r="F22" s="68"/>
      <c r="G22" s="69"/>
      <c r="H22" s="68"/>
      <c r="I22" s="68"/>
      <c r="J22" s="99"/>
      <c r="K22" s="21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20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10" t="str">
        <f>IF(D22="","",IF(E21="ND",VLOOKUP(D22,Datenblatt!$A$2:$C$31,3,FALSE)-1,IF(E21="ND12,5",VLOOKUP(D22,Datenblatt!$A$2:$C$31,3,FALSE)-0.5,VLOOKUP(D22,Datenblatt!$A$2:$C$31,3,FALSE))))</f>
        <v/>
      </c>
      <c r="N22" s="211" t="str">
        <f t="shared" si="2"/>
        <v/>
      </c>
      <c r="O22" s="211" t="str">
        <f t="shared" si="3"/>
        <v/>
      </c>
      <c r="P22" s="186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103" t="str">
        <f>IF(D22="","",VLOOKUP(D22,Datenblatt!$A$2:$D$31,4,FALSE))</f>
        <v/>
      </c>
      <c r="R22" s="104" t="str">
        <f>IF(E22="","",VLOOKUP(E22,Datenblatt!$E$2:$G$28,2,FALSE))</f>
        <v/>
      </c>
      <c r="S22" s="105"/>
      <c r="T22" s="111">
        <f t="shared" si="5"/>
        <v>0</v>
      </c>
      <c r="U22" s="114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12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12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54">
        <f t="array" ref="X22">IF(T22=0,0,IF((AND((ROW(T22)=MATCH(TRUE,($T$1:$T$44)&gt;0,0)))),IF(W22&gt;=6,W22-6,0),IF(W22&gt;=2,2,W22)))</f>
        <v>0</v>
      </c>
      <c r="Y22" s="254">
        <f t="array" ref="Y22">IF(T21=0,0,(IF((AND((ROW(T21)=MATCH(TRUE,($T$1:$T$44)&gt;0,0)))),IF(W21&gt;=6,6,W21),IF(W21&gt;=2,W21-2,0))))</f>
        <v>0</v>
      </c>
      <c r="Z22" s="111" t="str">
        <f t="shared" si="6"/>
        <v/>
      </c>
      <c r="AA22" s="214">
        <f>IF(E21="ND",IF(ISERROR(MATCH(D22,Datenblatt!$L$2:$L$18,0)),3,2),IF(E21="ND12,5",IF(ISERROR(MATCH(D22,Datenblatt!$L$2:$L$18,0)),2.5,2),0))</f>
        <v>0</v>
      </c>
      <c r="AB22" s="214">
        <f>IF((IF(E22="ND",14-IF(D22="",0,VLOOKUP(D22,Datenblatt!$L$2:$M$30,2,FALSE)),IF(E22="ND12,5",2,0)))&lt;0,0,(IF(E22="ND",14-IF(D22="",0,VLOOKUP(D22,Datenblatt!$L$2:$M$30,2,FALSE)),IF(E22="ND12,5",2,0))))</f>
        <v>0</v>
      </c>
      <c r="AC22" s="214">
        <f t="shared" si="7"/>
        <v>0</v>
      </c>
      <c r="AD22" s="214">
        <f t="shared" si="8"/>
        <v>0</v>
      </c>
      <c r="AE22" s="214">
        <f t="shared" si="9"/>
        <v>0</v>
      </c>
      <c r="AF22" s="112">
        <f t="shared" si="10"/>
        <v>0</v>
      </c>
      <c r="AG22" s="112">
        <f t="shared" si="11"/>
        <v>0</v>
      </c>
      <c r="AH22" s="112">
        <f>IF(E22="",0,VLOOKUP(E22,Datenblatt!$E$2:$G$28,3,FALSE))</f>
        <v>0</v>
      </c>
    </row>
    <row r="23" spans="1:34" ht="13" customHeight="1">
      <c r="A23" s="89" t="str">
        <f>IF(ISERROR(VLOOKUP(C23,Datenblatt!$B$84:$B$97,1,FALSE)),"","Ft")</f>
        <v/>
      </c>
      <c r="B23" s="84">
        <f t="shared" si="0"/>
        <v>45361</v>
      </c>
      <c r="C23" s="86">
        <f t="shared" si="4"/>
        <v>45361</v>
      </c>
      <c r="D23" s="67"/>
      <c r="E23" s="67"/>
      <c r="F23" s="68"/>
      <c r="G23" s="69"/>
      <c r="H23" s="68"/>
      <c r="I23" s="68"/>
      <c r="J23" s="99"/>
      <c r="K23" s="21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20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10" t="str">
        <f>IF(D23="","",IF(E22="ND",VLOOKUP(D23,Datenblatt!$A$2:$C$31,3,FALSE)-1,IF(E22="ND12,5",VLOOKUP(D23,Datenblatt!$A$2:$C$31,3,FALSE)-0.5,VLOOKUP(D23,Datenblatt!$A$2:$C$31,3,FALSE))))</f>
        <v/>
      </c>
      <c r="N23" s="211" t="str">
        <f t="shared" si="2"/>
        <v/>
      </c>
      <c r="O23" s="211">
        <f t="shared" si="3"/>
        <v>0</v>
      </c>
      <c r="P23" s="186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103" t="str">
        <f>IF(D23="","",VLOOKUP(D23,Datenblatt!$A$2:$D$31,4,FALSE))</f>
        <v/>
      </c>
      <c r="R23" s="104" t="str">
        <f>IF(E23="","",VLOOKUP(E23,Datenblatt!$E$2:$G$28,2,FALSE))</f>
        <v/>
      </c>
      <c r="S23" s="105"/>
      <c r="T23" s="111">
        <f t="shared" si="5"/>
        <v>0</v>
      </c>
      <c r="U23" s="114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12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12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54">
        <f t="array" ref="X23">IF(T23=0,0,IF((AND((ROW(T23)=MATCH(TRUE,($T$1:$T$44)&gt;0,0)))),IF(W23&gt;=6,W23-6,0),IF(W23&gt;=2,2,W23)))</f>
        <v>0</v>
      </c>
      <c r="Y23" s="254">
        <f t="array" ref="Y23">IF(T22=0,0,(IF((AND((ROW(T22)=MATCH(TRUE,($T$1:$T$44)&gt;0,0)))),IF(W22&gt;=6,6,W22),IF(W22&gt;=2,W22-2,0))))</f>
        <v>0</v>
      </c>
      <c r="Z23" s="111" t="str">
        <f t="shared" si="6"/>
        <v/>
      </c>
      <c r="AA23" s="214">
        <f>IF(E22="ND",IF(ISERROR(MATCH(D23,Datenblatt!$L$2:$L$18,0)),3,2),IF(E22="ND12,5",IF(ISERROR(MATCH(D23,Datenblatt!$L$2:$L$18,0)),2.5,2),0))</f>
        <v>0</v>
      </c>
      <c r="AB23" s="214">
        <f>IF((IF(E23="ND",14-IF(D23="",0,VLOOKUP(D23,Datenblatt!$L$2:$M$30,2,FALSE)),IF(E23="ND12,5",2,0)))&lt;0,0,(IF(E23="ND",14-IF(D23="",0,VLOOKUP(D23,Datenblatt!$L$2:$M$30,2,FALSE)),IF(E23="ND12,5",2,0))))</f>
        <v>0</v>
      </c>
      <c r="AC23" s="214">
        <f t="shared" si="7"/>
        <v>0</v>
      </c>
      <c r="AD23" s="214">
        <f t="shared" si="8"/>
        <v>0</v>
      </c>
      <c r="AE23" s="214">
        <f t="shared" si="9"/>
        <v>0</v>
      </c>
      <c r="AF23" s="112">
        <f t="shared" si="10"/>
        <v>0</v>
      </c>
      <c r="AG23" s="112">
        <f t="shared" si="11"/>
        <v>0</v>
      </c>
      <c r="AH23" s="112">
        <f>IF(E23="",0,VLOOKUP(E23,Datenblatt!$E$2:$G$28,3,FALSE))</f>
        <v>0</v>
      </c>
    </row>
    <row r="24" spans="1:34" ht="13" customHeight="1">
      <c r="A24" s="89" t="str">
        <f>IF(ISERROR(VLOOKUP(C24,Datenblatt!$B$84:$B$97,1,FALSE)),"","Ft")</f>
        <v/>
      </c>
      <c r="B24" s="84">
        <f t="shared" si="0"/>
        <v>45362</v>
      </c>
      <c r="C24" s="86">
        <f t="shared" si="4"/>
        <v>45362</v>
      </c>
      <c r="D24" s="67"/>
      <c r="E24" s="67"/>
      <c r="F24" s="68"/>
      <c r="G24" s="69"/>
      <c r="H24" s="68"/>
      <c r="I24" s="68"/>
      <c r="J24" s="99"/>
      <c r="K24" s="21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20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10" t="str">
        <f>IF(D24="","",IF(E23="ND",VLOOKUP(D24,Datenblatt!$A$2:$C$31,3,FALSE)-1,IF(E23="ND12,5",VLOOKUP(D24,Datenblatt!$A$2:$C$31,3,FALSE)-0.5,VLOOKUP(D24,Datenblatt!$A$2:$C$31,3,FALSE))))</f>
        <v/>
      </c>
      <c r="N24" s="211" t="str">
        <f t="shared" si="2"/>
        <v/>
      </c>
      <c r="O24" s="211" t="str">
        <f t="shared" si="3"/>
        <v/>
      </c>
      <c r="P24" s="186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103" t="str">
        <f>IF(D24="","",VLOOKUP(D24,Datenblatt!$A$2:$D$31,4,FALSE))</f>
        <v/>
      </c>
      <c r="R24" s="104" t="str">
        <f>IF(E24="","",VLOOKUP(E24,Datenblatt!$E$2:$G$28,2,FALSE))</f>
        <v/>
      </c>
      <c r="S24" s="105"/>
      <c r="T24" s="111">
        <f t="shared" si="5"/>
        <v>0</v>
      </c>
      <c r="U24" s="114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12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12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54">
        <f t="array" ref="X24">IF(T24=0,0,IF((AND((ROW(T24)=MATCH(TRUE,($T$1:$T$44)&gt;0,0)))),IF(W24&gt;=6,W24-6,0),IF(W24&gt;=2,2,W24)))</f>
        <v>0</v>
      </c>
      <c r="Y24" s="254">
        <f t="array" ref="Y24">IF(T23=0,0,(IF((AND((ROW(T23)=MATCH(TRUE,($T$1:$T$44)&gt;0,0)))),IF(W23&gt;=6,6,W23),IF(W23&gt;=2,W23-2,0))))</f>
        <v>0</v>
      </c>
      <c r="Z24" s="111" t="str">
        <f t="shared" si="6"/>
        <v/>
      </c>
      <c r="AA24" s="214">
        <f>IF(E23="ND",IF(ISERROR(MATCH(D24,Datenblatt!$L$2:$L$18,0)),3,2),IF(E23="ND12,5",IF(ISERROR(MATCH(D24,Datenblatt!$L$2:$L$18,0)),2.5,2),0))</f>
        <v>0</v>
      </c>
      <c r="AB24" s="214">
        <f>IF((IF(E24="ND",14-IF(D24="",0,VLOOKUP(D24,Datenblatt!$L$2:$M$30,2,FALSE)),IF(E24="ND12,5",2,0)))&lt;0,0,(IF(E24="ND",14-IF(D24="",0,VLOOKUP(D24,Datenblatt!$L$2:$M$30,2,FALSE)),IF(E24="ND12,5",2,0))))</f>
        <v>0</v>
      </c>
      <c r="AC24" s="214">
        <f t="shared" si="7"/>
        <v>0</v>
      </c>
      <c r="AD24" s="214">
        <f t="shared" si="8"/>
        <v>0</v>
      </c>
      <c r="AE24" s="214">
        <f t="shared" si="9"/>
        <v>0</v>
      </c>
      <c r="AF24" s="112">
        <f t="shared" si="10"/>
        <v>0</v>
      </c>
      <c r="AG24" s="112">
        <f t="shared" si="11"/>
        <v>0</v>
      </c>
      <c r="AH24" s="112">
        <f>IF(E24="",0,VLOOKUP(E24,Datenblatt!$E$2:$G$28,3,FALSE))</f>
        <v>0</v>
      </c>
    </row>
    <row r="25" spans="1:34" ht="13" customHeight="1">
      <c r="A25" s="89" t="str">
        <f>IF(ISERROR(VLOOKUP(C25,Datenblatt!$B$84:$B$97,1,FALSE)),"","Ft")</f>
        <v/>
      </c>
      <c r="B25" s="84">
        <f t="shared" si="0"/>
        <v>45363</v>
      </c>
      <c r="C25" s="86">
        <f t="shared" si="4"/>
        <v>45363</v>
      </c>
      <c r="D25" s="67"/>
      <c r="E25" s="67"/>
      <c r="F25" s="68"/>
      <c r="G25" s="69"/>
      <c r="H25" s="68"/>
      <c r="I25" s="68"/>
      <c r="J25" s="99"/>
      <c r="K25" s="21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20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10" t="str">
        <f>IF(D25="","",IF(E24="ND",VLOOKUP(D25,Datenblatt!$A$2:$C$31,3,FALSE)-1,IF(E24="ND12,5",VLOOKUP(D25,Datenblatt!$A$2:$C$31,3,FALSE)-0.5,VLOOKUP(D25,Datenblatt!$A$2:$C$31,3,FALSE))))</f>
        <v/>
      </c>
      <c r="N25" s="211" t="str">
        <f t="shared" si="2"/>
        <v/>
      </c>
      <c r="O25" s="211" t="str">
        <f t="shared" si="3"/>
        <v/>
      </c>
      <c r="P25" s="186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103" t="str">
        <f>IF(D25="","",VLOOKUP(D25,Datenblatt!$A$2:$D$31,4,FALSE))</f>
        <v/>
      </c>
      <c r="R25" s="104" t="str">
        <f>IF(E25="","",VLOOKUP(E25,Datenblatt!$E$2:$G$28,2,FALSE))</f>
        <v/>
      </c>
      <c r="S25" s="105"/>
      <c r="T25" s="111">
        <f t="shared" si="5"/>
        <v>0</v>
      </c>
      <c r="U25" s="114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12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12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54">
        <f t="array" ref="X25">IF(T25=0,0,IF((AND((ROW(T25)=MATCH(TRUE,($T$1:$T$44)&gt;0,0)))),IF(W25&gt;=6,W25-6,0),IF(W25&gt;=2,2,W25)))</f>
        <v>0</v>
      </c>
      <c r="Y25" s="254">
        <f t="array" ref="Y25">IF(T24=0,0,(IF((AND((ROW(T24)=MATCH(TRUE,($T$1:$T$44)&gt;0,0)))),IF(W24&gt;=6,6,W24),IF(W24&gt;=2,W24-2,0))))</f>
        <v>0</v>
      </c>
      <c r="Z25" s="111" t="str">
        <f t="shared" si="6"/>
        <v/>
      </c>
      <c r="AA25" s="214">
        <f>IF(E24="ND",IF(ISERROR(MATCH(D25,Datenblatt!$L$2:$L$18,0)),3,2),IF(E24="ND12,5",IF(ISERROR(MATCH(D25,Datenblatt!$L$2:$L$18,0)),2.5,2),0))</f>
        <v>0</v>
      </c>
      <c r="AB25" s="214">
        <f>IF((IF(E25="ND",14-IF(D25="",0,VLOOKUP(D25,Datenblatt!$L$2:$M$30,2,FALSE)),IF(E25="ND12,5",2,0)))&lt;0,0,(IF(E25="ND",14-IF(D25="",0,VLOOKUP(D25,Datenblatt!$L$2:$M$30,2,FALSE)),IF(E25="ND12,5",2,0))))</f>
        <v>0</v>
      </c>
      <c r="AC25" s="214">
        <f t="shared" si="7"/>
        <v>0</v>
      </c>
      <c r="AD25" s="214">
        <f t="shared" si="8"/>
        <v>0</v>
      </c>
      <c r="AE25" s="214">
        <f t="shared" si="9"/>
        <v>0</v>
      </c>
      <c r="AF25" s="112">
        <f t="shared" si="10"/>
        <v>0</v>
      </c>
      <c r="AG25" s="112">
        <f t="shared" si="11"/>
        <v>0</v>
      </c>
      <c r="AH25" s="112">
        <f>IF(E25="",0,VLOOKUP(E25,Datenblatt!$E$2:$G$28,3,FALSE))</f>
        <v>0</v>
      </c>
    </row>
    <row r="26" spans="1:34" ht="13" customHeight="1">
      <c r="A26" s="89" t="str">
        <f>IF(ISERROR(VLOOKUP(C26,Datenblatt!$B$84:$B$97,1,FALSE)),"","Ft")</f>
        <v/>
      </c>
      <c r="B26" s="84">
        <f t="shared" si="0"/>
        <v>45364</v>
      </c>
      <c r="C26" s="86">
        <f t="shared" si="4"/>
        <v>45364</v>
      </c>
      <c r="D26" s="67"/>
      <c r="E26" s="67"/>
      <c r="F26" s="68"/>
      <c r="G26" s="69"/>
      <c r="H26" s="68"/>
      <c r="I26" s="68"/>
      <c r="J26" s="99"/>
      <c r="K26" s="21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20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10" t="str">
        <f>IF(D26="","",IF(E25="ND",VLOOKUP(D26,Datenblatt!$A$2:$C$31,3,FALSE)-1,IF(E25="ND12,5",VLOOKUP(D26,Datenblatt!$A$2:$C$31,3,FALSE)-0.5,VLOOKUP(D26,Datenblatt!$A$2:$C$31,3,FALSE))))</f>
        <v/>
      </c>
      <c r="N26" s="211" t="str">
        <f t="shared" si="2"/>
        <v/>
      </c>
      <c r="O26" s="211" t="str">
        <f t="shared" si="3"/>
        <v/>
      </c>
      <c r="P26" s="186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103" t="str">
        <f>IF(D26="","",VLOOKUP(D26,Datenblatt!$A$2:$D$31,4,FALSE))</f>
        <v/>
      </c>
      <c r="R26" s="104" t="str">
        <f>IF(E26="","",VLOOKUP(E26,Datenblatt!$E$2:$G$28,2,FALSE))</f>
        <v/>
      </c>
      <c r="S26" s="105"/>
      <c r="T26" s="111">
        <f t="shared" si="5"/>
        <v>0</v>
      </c>
      <c r="U26" s="114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12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12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54">
        <f t="array" ref="X26">IF(T26=0,0,IF((AND((ROW(T26)=MATCH(TRUE,($T$1:$T$44)&gt;0,0)))),IF(W26&gt;=6,W26-6,0),IF(W26&gt;=2,2,W26)))</f>
        <v>0</v>
      </c>
      <c r="Y26" s="254">
        <f t="array" ref="Y26">IF(T25=0,0,(IF((AND((ROW(T25)=MATCH(TRUE,($T$1:$T$44)&gt;0,0)))),IF(W25&gt;=6,6,W25),IF(W25&gt;=2,W25-2,0))))</f>
        <v>0</v>
      </c>
      <c r="Z26" s="111" t="str">
        <f t="shared" si="6"/>
        <v/>
      </c>
      <c r="AA26" s="214">
        <f>IF(E25="ND",IF(ISERROR(MATCH(D26,Datenblatt!$L$2:$L$18,0)),3,2),IF(E25="ND12,5",IF(ISERROR(MATCH(D26,Datenblatt!$L$2:$L$18,0)),2.5,2),0))</f>
        <v>0</v>
      </c>
      <c r="AB26" s="214">
        <f>IF((IF(E26="ND",14-IF(D26="",0,VLOOKUP(D26,Datenblatt!$L$2:$M$30,2,FALSE)),IF(E26="ND12,5",2,0)))&lt;0,0,(IF(E26="ND",14-IF(D26="",0,VLOOKUP(D26,Datenblatt!$L$2:$M$30,2,FALSE)),IF(E26="ND12,5",2,0))))</f>
        <v>0</v>
      </c>
      <c r="AC26" s="214">
        <f t="shared" si="7"/>
        <v>0</v>
      </c>
      <c r="AD26" s="214">
        <f t="shared" si="8"/>
        <v>0</v>
      </c>
      <c r="AE26" s="214">
        <f t="shared" si="9"/>
        <v>0</v>
      </c>
      <c r="AF26" s="112">
        <f t="shared" si="10"/>
        <v>0</v>
      </c>
      <c r="AG26" s="112">
        <f t="shared" si="11"/>
        <v>0</v>
      </c>
      <c r="AH26" s="112">
        <f>IF(E26="",0,VLOOKUP(E26,Datenblatt!$E$2:$G$28,3,FALSE))</f>
        <v>0</v>
      </c>
    </row>
    <row r="27" spans="1:34" ht="13" customHeight="1">
      <c r="A27" s="89" t="str">
        <f>IF(ISERROR(VLOOKUP(C27,Datenblatt!$B$84:$B$97,1,FALSE)),"","Ft")</f>
        <v/>
      </c>
      <c r="B27" s="84">
        <f t="shared" si="0"/>
        <v>45365</v>
      </c>
      <c r="C27" s="86">
        <f t="shared" si="4"/>
        <v>45365</v>
      </c>
      <c r="D27" s="67"/>
      <c r="E27" s="67"/>
      <c r="F27" s="68"/>
      <c r="G27" s="69"/>
      <c r="H27" s="68"/>
      <c r="I27" s="68"/>
      <c r="J27" s="99"/>
      <c r="K27" s="21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20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10" t="str">
        <f>IF(D27="","",IF(E26="ND",VLOOKUP(D27,Datenblatt!$A$2:$C$31,3,FALSE)-1,IF(E26="ND12,5",VLOOKUP(D27,Datenblatt!$A$2:$C$31,3,FALSE)-0.5,VLOOKUP(D27,Datenblatt!$A$2:$C$31,3,FALSE))))</f>
        <v/>
      </c>
      <c r="N27" s="211" t="str">
        <f t="shared" si="2"/>
        <v/>
      </c>
      <c r="O27" s="211" t="str">
        <f t="shared" si="3"/>
        <v/>
      </c>
      <c r="P27" s="186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103" t="str">
        <f>IF(D27="","",VLOOKUP(D27,Datenblatt!$A$2:$D$31,4,FALSE))</f>
        <v/>
      </c>
      <c r="R27" s="104" t="str">
        <f>IF(E27="","",VLOOKUP(E27,Datenblatt!$E$2:$G$28,2,FALSE))</f>
        <v/>
      </c>
      <c r="S27" s="105"/>
      <c r="T27" s="111">
        <f t="shared" si="5"/>
        <v>0</v>
      </c>
      <c r="U27" s="114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12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12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54">
        <f t="array" ref="X27">IF(T27=0,0,IF((AND((ROW(T27)=MATCH(TRUE,($T$1:$T$44)&gt;0,0)))),IF(W27&gt;=6,W27-6,0),IF(W27&gt;=2,2,W27)))</f>
        <v>0</v>
      </c>
      <c r="Y27" s="254">
        <f t="array" ref="Y27">IF(T26=0,0,(IF((AND((ROW(T26)=MATCH(TRUE,($T$1:$T$44)&gt;0,0)))),IF(W26&gt;=6,6,W26),IF(W26&gt;=2,W26-2,0))))</f>
        <v>0</v>
      </c>
      <c r="Z27" s="111" t="str">
        <f t="shared" si="6"/>
        <v/>
      </c>
      <c r="AA27" s="214">
        <f>IF(E26="ND",IF(ISERROR(MATCH(D27,Datenblatt!$L$2:$L$18,0)),3,2),IF(E26="ND12,5",IF(ISERROR(MATCH(D27,Datenblatt!$L$2:$L$18,0)),2.5,2),0))</f>
        <v>0</v>
      </c>
      <c r="AB27" s="214">
        <f>IF((IF(E27="ND",14-IF(D27="",0,VLOOKUP(D27,Datenblatt!$L$2:$M$30,2,FALSE)),IF(E27="ND12,5",2,0)))&lt;0,0,(IF(E27="ND",14-IF(D27="",0,VLOOKUP(D27,Datenblatt!$L$2:$M$30,2,FALSE)),IF(E27="ND12,5",2,0))))</f>
        <v>0</v>
      </c>
      <c r="AC27" s="214">
        <f t="shared" si="7"/>
        <v>0</v>
      </c>
      <c r="AD27" s="214">
        <f t="shared" si="8"/>
        <v>0</v>
      </c>
      <c r="AE27" s="214">
        <f t="shared" si="9"/>
        <v>0</v>
      </c>
      <c r="AF27" s="112">
        <f t="shared" si="10"/>
        <v>0</v>
      </c>
      <c r="AG27" s="112">
        <f t="shared" si="11"/>
        <v>0</v>
      </c>
      <c r="AH27" s="112">
        <f>IF(E27="",0,VLOOKUP(E27,Datenblatt!$E$2:$G$28,3,FALSE))</f>
        <v>0</v>
      </c>
    </row>
    <row r="28" spans="1:34" ht="13" customHeight="1">
      <c r="A28" s="89" t="str">
        <f>IF(ISERROR(VLOOKUP(C28,Datenblatt!$B$84:$B$97,1,FALSE)),"","Ft")</f>
        <v/>
      </c>
      <c r="B28" s="84">
        <f t="shared" si="0"/>
        <v>45366</v>
      </c>
      <c r="C28" s="86">
        <f t="shared" si="4"/>
        <v>45366</v>
      </c>
      <c r="D28" s="67"/>
      <c r="E28" s="67"/>
      <c r="F28" s="68"/>
      <c r="G28" s="69"/>
      <c r="H28" s="68"/>
      <c r="I28" s="68"/>
      <c r="J28" s="99"/>
      <c r="K28" s="21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20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10" t="str">
        <f>IF(D28="","",IF(E27="ND",VLOOKUP(D28,Datenblatt!$A$2:$C$31,3,FALSE)-1,IF(E27="ND12,5",VLOOKUP(D28,Datenblatt!$A$2:$C$31,3,FALSE)-0.5,VLOOKUP(D28,Datenblatt!$A$2:$C$31,3,FALSE))))</f>
        <v/>
      </c>
      <c r="N28" s="211" t="str">
        <f t="shared" si="2"/>
        <v/>
      </c>
      <c r="O28" s="211" t="str">
        <f t="shared" si="3"/>
        <v/>
      </c>
      <c r="P28" s="186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103" t="str">
        <f>IF(D28="","",VLOOKUP(D28,Datenblatt!$A$2:$D$31,4,FALSE))</f>
        <v/>
      </c>
      <c r="R28" s="104" t="str">
        <f>IF(E28="","",VLOOKUP(E28,Datenblatt!$E$2:$G$28,2,FALSE))</f>
        <v/>
      </c>
      <c r="S28" s="105"/>
      <c r="T28" s="111">
        <f t="shared" si="5"/>
        <v>0</v>
      </c>
      <c r="U28" s="114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12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12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54">
        <f t="array" ref="X28">IF(T28=0,0,IF((AND((ROW(T28)=MATCH(TRUE,($T$1:$T$44)&gt;0,0)))),IF(W28&gt;=6,W28-6,0),IF(W28&gt;=2,2,W28)))</f>
        <v>0</v>
      </c>
      <c r="Y28" s="254">
        <f t="array" ref="Y28">IF(T27=0,0,(IF((AND((ROW(T27)=MATCH(TRUE,($T$1:$T$44)&gt;0,0)))),IF(W27&gt;=6,6,W27),IF(W27&gt;=2,W27-2,0))))</f>
        <v>0</v>
      </c>
      <c r="Z28" s="111" t="str">
        <f t="shared" si="6"/>
        <v/>
      </c>
      <c r="AA28" s="214">
        <f>IF(E27="ND",IF(ISERROR(MATCH(D28,Datenblatt!$L$2:$L$18,0)),3,2),IF(E27="ND12,5",IF(ISERROR(MATCH(D28,Datenblatt!$L$2:$L$18,0)),2.5,2),0))</f>
        <v>0</v>
      </c>
      <c r="AB28" s="214">
        <f>IF((IF(E28="ND",14-IF(D28="",0,VLOOKUP(D28,Datenblatt!$L$2:$M$30,2,FALSE)),IF(E28="ND12,5",2,0)))&lt;0,0,(IF(E28="ND",14-IF(D28="",0,VLOOKUP(D28,Datenblatt!$L$2:$M$30,2,FALSE)),IF(E28="ND12,5",2,0))))</f>
        <v>0</v>
      </c>
      <c r="AC28" s="214">
        <f t="shared" si="7"/>
        <v>0</v>
      </c>
      <c r="AD28" s="214">
        <f t="shared" si="8"/>
        <v>0</v>
      </c>
      <c r="AE28" s="214">
        <f t="shared" si="9"/>
        <v>0</v>
      </c>
      <c r="AF28" s="112">
        <f t="shared" si="10"/>
        <v>0</v>
      </c>
      <c r="AG28" s="112">
        <f t="shared" si="11"/>
        <v>0</v>
      </c>
      <c r="AH28" s="112">
        <f>IF(E28="",0,VLOOKUP(E28,Datenblatt!$E$2:$G$28,3,FALSE))</f>
        <v>0</v>
      </c>
    </row>
    <row r="29" spans="1:34" ht="13" customHeight="1">
      <c r="A29" s="89" t="str">
        <f>IF(ISERROR(VLOOKUP(C29,Datenblatt!$B$84:$B$97,1,FALSE)),"","Ft")</f>
        <v/>
      </c>
      <c r="B29" s="84">
        <f t="shared" si="0"/>
        <v>45367</v>
      </c>
      <c r="C29" s="86">
        <f t="shared" si="4"/>
        <v>45367</v>
      </c>
      <c r="D29" s="67"/>
      <c r="E29" s="67"/>
      <c r="F29" s="68"/>
      <c r="G29" s="69"/>
      <c r="H29" s="68"/>
      <c r="I29" s="68"/>
      <c r="J29" s="99"/>
      <c r="K29" s="21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20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10" t="str">
        <f>IF(D29="","",IF(E28="ND",VLOOKUP(D29,Datenblatt!$A$2:$C$31,3,FALSE)-1,IF(E28="ND12,5",VLOOKUP(D29,Datenblatt!$A$2:$C$31,3,FALSE)-0.5,VLOOKUP(D29,Datenblatt!$A$2:$C$31,3,FALSE))))</f>
        <v/>
      </c>
      <c r="N29" s="211" t="str">
        <f t="shared" si="2"/>
        <v/>
      </c>
      <c r="O29" s="211" t="str">
        <f t="shared" si="3"/>
        <v/>
      </c>
      <c r="P29" s="186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103" t="str">
        <f>IF(D29="","",VLOOKUP(D29,Datenblatt!$A$2:$D$31,4,FALSE))</f>
        <v/>
      </c>
      <c r="R29" s="104" t="str">
        <f>IF(E29="","",VLOOKUP(E29,Datenblatt!$E$2:$G$28,2,FALSE))</f>
        <v/>
      </c>
      <c r="S29" s="105"/>
      <c r="T29" s="111">
        <f t="shared" si="5"/>
        <v>0</v>
      </c>
      <c r="U29" s="114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12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12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54">
        <f t="array" ref="X29">IF(T29=0,0,IF((AND((ROW(T29)=MATCH(TRUE,($T$1:$T$44)&gt;0,0)))),IF(W29&gt;=6,W29-6,0),IF(W29&gt;=2,2,W29)))</f>
        <v>0</v>
      </c>
      <c r="Y29" s="254">
        <f t="array" ref="Y29">IF(T28=0,0,(IF((AND((ROW(T28)=MATCH(TRUE,($T$1:$T$44)&gt;0,0)))),IF(W28&gt;=6,6,W28),IF(W28&gt;=2,W28-2,0))))</f>
        <v>0</v>
      </c>
      <c r="Z29" s="111" t="str">
        <f t="shared" si="6"/>
        <v/>
      </c>
      <c r="AA29" s="214">
        <f>IF(E28="ND",IF(ISERROR(MATCH(D29,Datenblatt!$L$2:$L$18,0)),3,2),IF(E28="ND12,5",IF(ISERROR(MATCH(D29,Datenblatt!$L$2:$L$18,0)),2.5,2),0))</f>
        <v>0</v>
      </c>
      <c r="AB29" s="214">
        <f>IF((IF(E29="ND",14-IF(D29="",0,VLOOKUP(D29,Datenblatt!$L$2:$M$30,2,FALSE)),IF(E29="ND12,5",2,0)))&lt;0,0,(IF(E29="ND",14-IF(D29="",0,VLOOKUP(D29,Datenblatt!$L$2:$M$30,2,FALSE)),IF(E29="ND12,5",2,0))))</f>
        <v>0</v>
      </c>
      <c r="AC29" s="214">
        <f t="shared" si="7"/>
        <v>0</v>
      </c>
      <c r="AD29" s="214">
        <f t="shared" si="8"/>
        <v>0</v>
      </c>
      <c r="AE29" s="214">
        <f t="shared" si="9"/>
        <v>0</v>
      </c>
      <c r="AF29" s="112">
        <f t="shared" si="10"/>
        <v>0</v>
      </c>
      <c r="AG29" s="112">
        <f t="shared" si="11"/>
        <v>0</v>
      </c>
      <c r="AH29" s="112">
        <f>IF(E29="",0,VLOOKUP(E29,Datenblatt!$E$2:$G$28,3,FALSE))</f>
        <v>0</v>
      </c>
    </row>
    <row r="30" spans="1:34" ht="13" customHeight="1">
      <c r="A30" s="89" t="str">
        <f>IF(ISERROR(VLOOKUP(C30,Datenblatt!$B$84:$B$97,1,FALSE)),"","Ft")</f>
        <v/>
      </c>
      <c r="B30" s="84">
        <f t="shared" si="0"/>
        <v>45368</v>
      </c>
      <c r="C30" s="86">
        <f t="shared" si="4"/>
        <v>45368</v>
      </c>
      <c r="D30" s="67"/>
      <c r="E30" s="67"/>
      <c r="F30" s="68"/>
      <c r="G30" s="69"/>
      <c r="H30" s="68"/>
      <c r="I30" s="68"/>
      <c r="J30" s="99"/>
      <c r="K30" s="21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20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10" t="str">
        <f>IF(D30="","",IF(E29="ND",VLOOKUP(D30,Datenblatt!$A$2:$C$31,3,FALSE)-1,IF(E29="ND12,5",VLOOKUP(D30,Datenblatt!$A$2:$C$31,3,FALSE)-0.5,VLOOKUP(D30,Datenblatt!$A$2:$C$31,3,FALSE))))</f>
        <v/>
      </c>
      <c r="N30" s="211" t="str">
        <f t="shared" si="2"/>
        <v/>
      </c>
      <c r="O30" s="211">
        <f t="shared" si="3"/>
        <v>0</v>
      </c>
      <c r="P30" s="186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103" t="str">
        <f>IF(D30="","",VLOOKUP(D30,Datenblatt!$A$2:$D$31,4,FALSE))</f>
        <v/>
      </c>
      <c r="R30" s="104" t="str">
        <f>IF(E30="","",VLOOKUP(E30,Datenblatt!$E$2:$G$28,2,FALSE))</f>
        <v/>
      </c>
      <c r="S30" s="105"/>
      <c r="T30" s="111">
        <f t="shared" si="5"/>
        <v>0</v>
      </c>
      <c r="U30" s="114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12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12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54">
        <f t="array" ref="X30">IF(T30=0,0,IF((AND((ROW(T30)=MATCH(TRUE,($T$1:$T$44)&gt;0,0)))),IF(W30&gt;=6,W30-6,0),IF(W30&gt;=2,2,W30)))</f>
        <v>0</v>
      </c>
      <c r="Y30" s="254">
        <f t="array" ref="Y30">IF(T29=0,0,(IF((AND((ROW(T29)=MATCH(TRUE,($T$1:$T$44)&gt;0,0)))),IF(W29&gt;=6,6,W29),IF(W29&gt;=2,W29-2,0))))</f>
        <v>0</v>
      </c>
      <c r="Z30" s="111" t="str">
        <f t="shared" si="6"/>
        <v/>
      </c>
      <c r="AA30" s="214">
        <f>IF(E29="ND",IF(ISERROR(MATCH(D30,Datenblatt!$L$2:$L$18,0)),3,2),IF(E29="ND12,5",IF(ISERROR(MATCH(D30,Datenblatt!$L$2:$L$18,0)),2.5,2),0))</f>
        <v>0</v>
      </c>
      <c r="AB30" s="214">
        <f>IF((IF(E30="ND",14-IF(D30="",0,VLOOKUP(D30,Datenblatt!$L$2:$M$30,2,FALSE)),IF(E30="ND12,5",2,0)))&lt;0,0,(IF(E30="ND",14-IF(D30="",0,VLOOKUP(D30,Datenblatt!$L$2:$M$30,2,FALSE)),IF(E30="ND12,5",2,0))))</f>
        <v>0</v>
      </c>
      <c r="AC30" s="214">
        <f t="shared" si="7"/>
        <v>0</v>
      </c>
      <c r="AD30" s="214">
        <f t="shared" si="8"/>
        <v>0</v>
      </c>
      <c r="AE30" s="214">
        <f t="shared" si="9"/>
        <v>0</v>
      </c>
      <c r="AF30" s="112">
        <f t="shared" si="10"/>
        <v>0</v>
      </c>
      <c r="AG30" s="112">
        <f t="shared" si="11"/>
        <v>0</v>
      </c>
      <c r="AH30" s="112">
        <f>IF(E30="",0,VLOOKUP(E30,Datenblatt!$E$2:$G$28,3,FALSE))</f>
        <v>0</v>
      </c>
    </row>
    <row r="31" spans="1:34" ht="13" customHeight="1">
      <c r="A31" s="89" t="str">
        <f>IF(ISERROR(VLOOKUP(C31,Datenblatt!$B$84:$B$97,1,FALSE)),"","Ft")</f>
        <v/>
      </c>
      <c r="B31" s="84">
        <f t="shared" si="0"/>
        <v>45369</v>
      </c>
      <c r="C31" s="86">
        <f t="shared" si="4"/>
        <v>45369</v>
      </c>
      <c r="D31" s="67"/>
      <c r="E31" s="67"/>
      <c r="F31" s="68"/>
      <c r="G31" s="69"/>
      <c r="H31" s="68"/>
      <c r="I31" s="68"/>
      <c r="J31" s="99"/>
      <c r="K31" s="21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20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10" t="str">
        <f>IF(D31="","",IF(E30="ND",VLOOKUP(D31,Datenblatt!$A$2:$C$31,3,FALSE)-1,IF(E30="ND12,5",VLOOKUP(D31,Datenblatt!$A$2:$C$31,3,FALSE)-0.5,VLOOKUP(D31,Datenblatt!$A$2:$C$31,3,FALSE))))</f>
        <v/>
      </c>
      <c r="N31" s="211" t="str">
        <f t="shared" si="2"/>
        <v/>
      </c>
      <c r="O31" s="211" t="str">
        <f t="shared" si="3"/>
        <v/>
      </c>
      <c r="P31" s="186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103" t="str">
        <f>IF(D31="","",VLOOKUP(D31,Datenblatt!$A$2:$D$31,4,FALSE))</f>
        <v/>
      </c>
      <c r="R31" s="104" t="str">
        <f>IF(E31="","",VLOOKUP(E31,Datenblatt!$E$2:$G$28,2,FALSE))</f>
        <v/>
      </c>
      <c r="S31" s="105"/>
      <c r="T31" s="111">
        <f t="shared" si="5"/>
        <v>0</v>
      </c>
      <c r="U31" s="114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12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12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54">
        <f t="array" ref="X31">IF(T31=0,0,IF((AND((ROW(T31)=MATCH(TRUE,($T$1:$T$44)&gt;0,0)))),IF(W31&gt;=6,W31-6,0),IF(W31&gt;=2,2,W31)))</f>
        <v>0</v>
      </c>
      <c r="Y31" s="254">
        <f t="array" ref="Y31">IF(T30=0,0,(IF((AND((ROW(T30)=MATCH(TRUE,($T$1:$T$44)&gt;0,0)))),IF(W30&gt;=6,6,W30),IF(W30&gt;=2,W30-2,0))))</f>
        <v>0</v>
      </c>
      <c r="Z31" s="111" t="str">
        <f t="shared" si="6"/>
        <v/>
      </c>
      <c r="AA31" s="214">
        <f>IF(E30="ND",IF(ISERROR(MATCH(D31,Datenblatt!$L$2:$L$18,0)),3,2),IF(E30="ND12,5",IF(ISERROR(MATCH(D31,Datenblatt!$L$2:$L$18,0)),2.5,2),0))</f>
        <v>0</v>
      </c>
      <c r="AB31" s="214">
        <f>IF((IF(E31="ND",14-IF(D31="",0,VLOOKUP(D31,Datenblatt!$L$2:$M$30,2,FALSE)),IF(E31="ND12,5",2,0)))&lt;0,0,(IF(E31="ND",14-IF(D31="",0,VLOOKUP(D31,Datenblatt!$L$2:$M$30,2,FALSE)),IF(E31="ND12,5",2,0))))</f>
        <v>0</v>
      </c>
      <c r="AC31" s="214">
        <f t="shared" si="7"/>
        <v>0</v>
      </c>
      <c r="AD31" s="214">
        <f t="shared" si="8"/>
        <v>0</v>
      </c>
      <c r="AE31" s="214">
        <f t="shared" si="9"/>
        <v>0</v>
      </c>
      <c r="AF31" s="112">
        <f t="shared" si="10"/>
        <v>0</v>
      </c>
      <c r="AG31" s="112">
        <f t="shared" si="11"/>
        <v>0</v>
      </c>
      <c r="AH31" s="112">
        <f>IF(E31="",0,VLOOKUP(E31,Datenblatt!$E$2:$G$28,3,FALSE))</f>
        <v>0</v>
      </c>
    </row>
    <row r="32" spans="1:34" ht="13" customHeight="1">
      <c r="A32" s="89" t="str">
        <f>IF(ISERROR(VLOOKUP(C32,Datenblatt!$B$84:$B$97,1,FALSE)),"","Ft")</f>
        <v/>
      </c>
      <c r="B32" s="84">
        <f t="shared" si="0"/>
        <v>45370</v>
      </c>
      <c r="C32" s="86">
        <f t="shared" si="4"/>
        <v>45370</v>
      </c>
      <c r="D32" s="67"/>
      <c r="E32" s="67"/>
      <c r="F32" s="68"/>
      <c r="G32" s="69"/>
      <c r="H32" s="68"/>
      <c r="I32" s="68"/>
      <c r="J32" s="99"/>
      <c r="K32" s="21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20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10" t="str">
        <f>IF(D32="","",IF(E31="ND",VLOOKUP(D32,Datenblatt!$A$2:$C$31,3,FALSE)-1,IF(E31="ND12,5",VLOOKUP(D32,Datenblatt!$A$2:$C$31,3,FALSE)-0.5,VLOOKUP(D32,Datenblatt!$A$2:$C$31,3,FALSE))))</f>
        <v/>
      </c>
      <c r="N32" s="211" t="str">
        <f t="shared" si="2"/>
        <v/>
      </c>
      <c r="O32" s="211" t="str">
        <f t="shared" si="3"/>
        <v/>
      </c>
      <c r="P32" s="186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103" t="str">
        <f>IF(D32="","",VLOOKUP(D32,Datenblatt!$A$2:$D$31,4,FALSE))</f>
        <v/>
      </c>
      <c r="R32" s="104" t="str">
        <f>IF(E32="","",VLOOKUP(E32,Datenblatt!$E$2:$G$28,2,FALSE))</f>
        <v/>
      </c>
      <c r="S32" s="105"/>
      <c r="T32" s="111">
        <f t="shared" si="5"/>
        <v>0</v>
      </c>
      <c r="U32" s="114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12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12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54">
        <f t="array" ref="X32">IF(T32=0,0,IF((AND((ROW(T32)=MATCH(TRUE,($T$1:$T$44)&gt;0,0)))),IF(W32&gt;=6,W32-6,0),IF(W32&gt;=2,2,W32)))</f>
        <v>0</v>
      </c>
      <c r="Y32" s="254">
        <f t="array" ref="Y32">IF(T31=0,0,(IF((AND((ROW(T31)=MATCH(TRUE,($T$1:$T$44)&gt;0,0)))),IF(W31&gt;=6,6,W31),IF(W31&gt;=2,W31-2,0))))</f>
        <v>0</v>
      </c>
      <c r="Z32" s="111" t="str">
        <f t="shared" si="6"/>
        <v/>
      </c>
      <c r="AA32" s="214">
        <f>IF(E31="ND",IF(ISERROR(MATCH(D32,Datenblatt!$L$2:$L$18,0)),3,2),IF(E31="ND12,5",IF(ISERROR(MATCH(D32,Datenblatt!$L$2:$L$18,0)),2.5,2),0))</f>
        <v>0</v>
      </c>
      <c r="AB32" s="214">
        <f>IF((IF(E32="ND",14-IF(D32="",0,VLOOKUP(D32,Datenblatt!$L$2:$M$30,2,FALSE)),IF(E32="ND12,5",2,0)))&lt;0,0,(IF(E32="ND",14-IF(D32="",0,VLOOKUP(D32,Datenblatt!$L$2:$M$30,2,FALSE)),IF(E32="ND12,5",2,0))))</f>
        <v>0</v>
      </c>
      <c r="AC32" s="214">
        <f t="shared" si="7"/>
        <v>0</v>
      </c>
      <c r="AD32" s="214">
        <f t="shared" si="8"/>
        <v>0</v>
      </c>
      <c r="AE32" s="214">
        <f t="shared" si="9"/>
        <v>0</v>
      </c>
      <c r="AF32" s="112">
        <f t="shared" si="10"/>
        <v>0</v>
      </c>
      <c r="AG32" s="112">
        <f t="shared" si="11"/>
        <v>0</v>
      </c>
      <c r="AH32" s="112">
        <f>IF(E32="",0,VLOOKUP(E32,Datenblatt!$E$2:$G$28,3,FALSE))</f>
        <v>0</v>
      </c>
    </row>
    <row r="33" spans="1:34" ht="13" customHeight="1">
      <c r="A33" s="89" t="str">
        <f>IF(ISERROR(VLOOKUP(C33,Datenblatt!$B$84:$B$97,1,FALSE)),"","Ft")</f>
        <v/>
      </c>
      <c r="B33" s="84">
        <f t="shared" si="0"/>
        <v>45371</v>
      </c>
      <c r="C33" s="86">
        <f t="shared" si="4"/>
        <v>45371</v>
      </c>
      <c r="D33" s="67"/>
      <c r="E33" s="67"/>
      <c r="F33" s="68"/>
      <c r="G33" s="69"/>
      <c r="H33" s="68"/>
      <c r="I33" s="68"/>
      <c r="J33" s="99"/>
      <c r="K33" s="21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20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10" t="str">
        <f>IF(D33="","",IF(E32="ND",VLOOKUP(D33,Datenblatt!$A$2:$C$31,3,FALSE)-1,IF(E32="ND12,5",VLOOKUP(D33,Datenblatt!$A$2:$C$31,3,FALSE)-0.5,VLOOKUP(D33,Datenblatt!$A$2:$C$31,3,FALSE))))</f>
        <v/>
      </c>
      <c r="N33" s="211" t="str">
        <f t="shared" si="2"/>
        <v/>
      </c>
      <c r="O33" s="211" t="str">
        <f t="shared" si="3"/>
        <v/>
      </c>
      <c r="P33" s="186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103" t="str">
        <f>IF(D33="","",VLOOKUP(D33,Datenblatt!$A$2:$D$31,4,FALSE))</f>
        <v/>
      </c>
      <c r="R33" s="104" t="str">
        <f>IF(E33="","",VLOOKUP(E33,Datenblatt!$E$2:$G$28,2,FALSE))</f>
        <v/>
      </c>
      <c r="S33" s="105"/>
      <c r="T33" s="111">
        <f t="shared" si="5"/>
        <v>0</v>
      </c>
      <c r="U33" s="114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12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12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54">
        <f t="array" ref="X33">IF(T33=0,0,IF((AND((ROW(T33)=MATCH(TRUE,($T$1:$T$44)&gt;0,0)))),IF(W33&gt;=6,W33-6,0),IF(W33&gt;=2,2,W33)))</f>
        <v>0</v>
      </c>
      <c r="Y33" s="254">
        <f t="array" ref="Y33">IF(T32=0,0,(IF((AND((ROW(T32)=MATCH(TRUE,($T$1:$T$44)&gt;0,0)))),IF(W32&gt;=6,6,W32),IF(W32&gt;=2,W32-2,0))))</f>
        <v>0</v>
      </c>
      <c r="Z33" s="111" t="str">
        <f t="shared" si="6"/>
        <v/>
      </c>
      <c r="AA33" s="214">
        <f>IF(E32="ND",IF(ISERROR(MATCH(D33,Datenblatt!$L$2:$L$18,0)),3,2),IF(E32="ND12,5",IF(ISERROR(MATCH(D33,Datenblatt!$L$2:$L$18,0)),2.5,2),0))</f>
        <v>0</v>
      </c>
      <c r="AB33" s="214">
        <f>IF((IF(E33="ND",14-IF(D33="",0,VLOOKUP(D33,Datenblatt!$L$2:$M$30,2,FALSE)),IF(E33="ND12,5",2,0)))&lt;0,0,(IF(E33="ND",14-IF(D33="",0,VLOOKUP(D33,Datenblatt!$L$2:$M$30,2,FALSE)),IF(E33="ND12,5",2,0))))</f>
        <v>0</v>
      </c>
      <c r="AC33" s="214">
        <f t="shared" si="7"/>
        <v>0</v>
      </c>
      <c r="AD33" s="214">
        <f t="shared" si="8"/>
        <v>0</v>
      </c>
      <c r="AE33" s="214">
        <f t="shared" si="9"/>
        <v>0</v>
      </c>
      <c r="AF33" s="112">
        <f t="shared" si="10"/>
        <v>0</v>
      </c>
      <c r="AG33" s="112">
        <f t="shared" si="11"/>
        <v>0</v>
      </c>
      <c r="AH33" s="112">
        <f>IF(E33="",0,VLOOKUP(E33,Datenblatt!$E$2:$G$28,3,FALSE))</f>
        <v>0</v>
      </c>
    </row>
    <row r="34" spans="1:34" ht="13" customHeight="1">
      <c r="A34" s="89" t="str">
        <f>IF(ISERROR(VLOOKUP(C34,Datenblatt!$B$84:$B$97,1,FALSE)),"","Ft")</f>
        <v/>
      </c>
      <c r="B34" s="84">
        <f t="shared" si="0"/>
        <v>45372</v>
      </c>
      <c r="C34" s="86">
        <f t="shared" si="4"/>
        <v>45372</v>
      </c>
      <c r="D34" s="67"/>
      <c r="E34" s="67"/>
      <c r="F34" s="68"/>
      <c r="G34" s="69"/>
      <c r="H34" s="68"/>
      <c r="I34" s="68"/>
      <c r="J34" s="99"/>
      <c r="K34" s="21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20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10" t="str">
        <f>IF(D34="","",IF(E33="ND",VLOOKUP(D34,Datenblatt!$A$2:$C$31,3,FALSE)-1,IF(E33="ND12,5",VLOOKUP(D34,Datenblatt!$A$2:$C$31,3,FALSE)-0.5,VLOOKUP(D34,Datenblatt!$A$2:$C$31,3,FALSE))))</f>
        <v/>
      </c>
      <c r="N34" s="211" t="str">
        <f t="shared" si="2"/>
        <v/>
      </c>
      <c r="O34" s="211" t="str">
        <f t="shared" si="3"/>
        <v/>
      </c>
      <c r="P34" s="186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103" t="str">
        <f>IF(D34="","",VLOOKUP(D34,Datenblatt!$A$2:$D$31,4,FALSE))</f>
        <v/>
      </c>
      <c r="R34" s="104" t="str">
        <f>IF(E34="","",VLOOKUP(E34,Datenblatt!$E$2:$G$28,2,FALSE))</f>
        <v/>
      </c>
      <c r="S34" s="105"/>
      <c r="T34" s="111">
        <f t="shared" si="5"/>
        <v>0</v>
      </c>
      <c r="U34" s="114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12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12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54">
        <f t="array" ref="X34">IF(T34=0,0,IF((AND((ROW(T34)=MATCH(TRUE,($T$1:$T$44)&gt;0,0)))),IF(W34&gt;=6,W34-6,0),IF(W34&gt;=2,2,W34)))</f>
        <v>0</v>
      </c>
      <c r="Y34" s="254">
        <f t="array" ref="Y34">IF(T33=0,0,(IF((AND((ROW(T33)=MATCH(TRUE,($T$1:$T$44)&gt;0,0)))),IF(W33&gt;=6,6,W33),IF(W33&gt;=2,W33-2,0))))</f>
        <v>0</v>
      </c>
      <c r="Z34" s="111" t="str">
        <f t="shared" si="6"/>
        <v/>
      </c>
      <c r="AA34" s="214">
        <f>IF(E33="ND",IF(ISERROR(MATCH(D34,Datenblatt!$L$2:$L$18,0)),3,2),IF(E33="ND12,5",IF(ISERROR(MATCH(D34,Datenblatt!$L$2:$L$18,0)),2.5,2),0))</f>
        <v>0</v>
      </c>
      <c r="AB34" s="214">
        <f>IF((IF(E34="ND",14-IF(D34="",0,VLOOKUP(D34,Datenblatt!$L$2:$M$30,2,FALSE)),IF(E34="ND12,5",2,0)))&lt;0,0,(IF(E34="ND",14-IF(D34="",0,VLOOKUP(D34,Datenblatt!$L$2:$M$30,2,FALSE)),IF(E34="ND12,5",2,0))))</f>
        <v>0</v>
      </c>
      <c r="AC34" s="214">
        <f t="shared" si="7"/>
        <v>0</v>
      </c>
      <c r="AD34" s="214">
        <f t="shared" si="8"/>
        <v>0</v>
      </c>
      <c r="AE34" s="214">
        <f t="shared" si="9"/>
        <v>0</v>
      </c>
      <c r="AF34" s="112">
        <f t="shared" si="10"/>
        <v>0</v>
      </c>
      <c r="AG34" s="112">
        <f t="shared" si="11"/>
        <v>0</v>
      </c>
      <c r="AH34" s="112">
        <f>IF(E34="",0,VLOOKUP(E34,Datenblatt!$E$2:$G$28,3,FALSE))</f>
        <v>0</v>
      </c>
    </row>
    <row r="35" spans="1:34" ht="13" customHeight="1">
      <c r="A35" s="89" t="str">
        <f>IF(ISERROR(VLOOKUP(C35,Datenblatt!$B$84:$B$97,1,FALSE)),"","Ft")</f>
        <v/>
      </c>
      <c r="B35" s="84">
        <f t="shared" si="0"/>
        <v>45373</v>
      </c>
      <c r="C35" s="86">
        <f t="shared" si="4"/>
        <v>45373</v>
      </c>
      <c r="D35" s="67"/>
      <c r="E35" s="67"/>
      <c r="F35" s="68"/>
      <c r="G35" s="69"/>
      <c r="H35" s="68"/>
      <c r="I35" s="68"/>
      <c r="J35" s="99"/>
      <c r="K35" s="21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20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10" t="str">
        <f>IF(D35="","",IF(E34="ND",VLOOKUP(D35,Datenblatt!$A$2:$C$31,3,FALSE)-1,IF(E34="ND12,5",VLOOKUP(D35,Datenblatt!$A$2:$C$31,3,FALSE)-0.5,VLOOKUP(D35,Datenblatt!$A$2:$C$31,3,FALSE))))</f>
        <v/>
      </c>
      <c r="N35" s="211" t="str">
        <f t="shared" si="2"/>
        <v/>
      </c>
      <c r="O35" s="211" t="str">
        <f t="shared" si="3"/>
        <v/>
      </c>
      <c r="P35" s="186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103" t="str">
        <f>IF(D35="","",VLOOKUP(D35,Datenblatt!$A$2:$D$31,4,FALSE))</f>
        <v/>
      </c>
      <c r="R35" s="104" t="str">
        <f>IF(E35="","",VLOOKUP(E35,Datenblatt!$E$2:$G$28,2,FALSE))</f>
        <v/>
      </c>
      <c r="S35" s="105"/>
      <c r="T35" s="111">
        <f t="shared" si="5"/>
        <v>0</v>
      </c>
      <c r="U35" s="114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12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12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54">
        <f t="array" ref="X35">IF(T35=0,0,IF((AND((ROW(T35)=MATCH(TRUE,($T$1:$T$44)&gt;0,0)))),IF(W35&gt;=6,W35-6,0),IF(W35&gt;=2,2,W35)))</f>
        <v>0</v>
      </c>
      <c r="Y35" s="254">
        <f t="array" ref="Y35">IF(T34=0,0,(IF((AND((ROW(T34)=MATCH(TRUE,($T$1:$T$44)&gt;0,0)))),IF(W34&gt;=6,6,W34),IF(W34&gt;=2,W34-2,0))))</f>
        <v>0</v>
      </c>
      <c r="Z35" s="111" t="str">
        <f t="shared" si="6"/>
        <v/>
      </c>
      <c r="AA35" s="214">
        <f>IF(E34="ND",IF(ISERROR(MATCH(D35,Datenblatt!$L$2:$L$18,0)),3,2),IF(E34="ND12,5",IF(ISERROR(MATCH(D35,Datenblatt!$L$2:$L$18,0)),2.5,2),0))</f>
        <v>0</v>
      </c>
      <c r="AB35" s="214">
        <f>IF((IF(E35="ND",14-IF(D35="",0,VLOOKUP(D35,Datenblatt!$L$2:$M$30,2,FALSE)),IF(E35="ND12,5",2,0)))&lt;0,0,(IF(E35="ND",14-IF(D35="",0,VLOOKUP(D35,Datenblatt!$L$2:$M$30,2,FALSE)),IF(E35="ND12,5",2,0))))</f>
        <v>0</v>
      </c>
      <c r="AC35" s="214">
        <f t="shared" si="7"/>
        <v>0</v>
      </c>
      <c r="AD35" s="214">
        <f t="shared" si="8"/>
        <v>0</v>
      </c>
      <c r="AE35" s="214">
        <f t="shared" si="9"/>
        <v>0</v>
      </c>
      <c r="AF35" s="112">
        <f t="shared" si="10"/>
        <v>0</v>
      </c>
      <c r="AG35" s="112">
        <f t="shared" si="11"/>
        <v>0</v>
      </c>
      <c r="AH35" s="112">
        <f>IF(E35="",0,VLOOKUP(E35,Datenblatt!$E$2:$G$28,3,FALSE))</f>
        <v>0</v>
      </c>
    </row>
    <row r="36" spans="1:34" ht="13" customHeight="1">
      <c r="A36" s="89" t="str">
        <f>IF(ISERROR(VLOOKUP(C36,Datenblatt!$B$84:$B$97,1,FALSE)),"","Ft")</f>
        <v/>
      </c>
      <c r="B36" s="84">
        <f t="shared" si="0"/>
        <v>45374</v>
      </c>
      <c r="C36" s="86">
        <f t="shared" si="4"/>
        <v>45374</v>
      </c>
      <c r="D36" s="67"/>
      <c r="E36" s="67"/>
      <c r="F36" s="68"/>
      <c r="G36" s="69"/>
      <c r="H36" s="68"/>
      <c r="I36" s="68"/>
      <c r="J36" s="99"/>
      <c r="K36" s="21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20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10" t="str">
        <f>IF(D36="","",IF(E35="ND",VLOOKUP(D36,Datenblatt!$A$2:$C$31,3,FALSE)-1,IF(E35="ND12,5",VLOOKUP(D36,Datenblatt!$A$2:$C$31,3,FALSE)-0.5,VLOOKUP(D36,Datenblatt!$A$2:$C$31,3,FALSE))))</f>
        <v/>
      </c>
      <c r="N36" s="211" t="str">
        <f t="shared" si="2"/>
        <v/>
      </c>
      <c r="O36" s="211" t="str">
        <f t="shared" si="3"/>
        <v/>
      </c>
      <c r="P36" s="186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103" t="str">
        <f>IF(D36="","",VLOOKUP(D36,Datenblatt!$A$2:$D$31,4,FALSE))</f>
        <v/>
      </c>
      <c r="R36" s="104" t="str">
        <f>IF(E36="","",VLOOKUP(E36,Datenblatt!$E$2:$G$28,2,FALSE))</f>
        <v/>
      </c>
      <c r="S36" s="105"/>
      <c r="T36" s="111">
        <f t="shared" si="5"/>
        <v>0</v>
      </c>
      <c r="U36" s="114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12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12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54">
        <f t="array" ref="X36">IF(T36=0,0,IF((AND((ROW(T36)=MATCH(TRUE,($T$1:$T$44)&gt;0,0)))),IF(W36&gt;=6,W36-6,0),IF(W36&gt;=2,2,W36)))</f>
        <v>0</v>
      </c>
      <c r="Y36" s="254">
        <f t="array" ref="Y36">IF(T35=0,0,(IF((AND((ROW(T35)=MATCH(TRUE,($T$1:$T$44)&gt;0,0)))),IF(W35&gt;=6,6,W35),IF(W35&gt;=2,W35-2,0))))</f>
        <v>0</v>
      </c>
      <c r="Z36" s="111" t="str">
        <f t="shared" si="6"/>
        <v/>
      </c>
      <c r="AA36" s="214">
        <f>IF(E35="ND",IF(ISERROR(MATCH(D36,Datenblatt!$L$2:$L$18,0)),3,2),IF(E35="ND12,5",IF(ISERROR(MATCH(D36,Datenblatt!$L$2:$L$18,0)),2.5,2),0))</f>
        <v>0</v>
      </c>
      <c r="AB36" s="214">
        <f>IF((IF(E36="ND",14-IF(D36="",0,VLOOKUP(D36,Datenblatt!$L$2:$M$30,2,FALSE)),IF(E36="ND12,5",2,0)))&lt;0,0,(IF(E36="ND",14-IF(D36="",0,VLOOKUP(D36,Datenblatt!$L$2:$M$30,2,FALSE)),IF(E36="ND12,5",2,0))))</f>
        <v>0</v>
      </c>
      <c r="AC36" s="214">
        <f t="shared" si="7"/>
        <v>0</v>
      </c>
      <c r="AD36" s="214">
        <f t="shared" si="8"/>
        <v>0</v>
      </c>
      <c r="AE36" s="214">
        <f t="shared" si="9"/>
        <v>0</v>
      </c>
      <c r="AF36" s="112">
        <f t="shared" si="10"/>
        <v>0</v>
      </c>
      <c r="AG36" s="112">
        <f t="shared" si="11"/>
        <v>0</v>
      </c>
      <c r="AH36" s="112">
        <f>IF(E36="",0,VLOOKUP(E36,Datenblatt!$E$2:$G$28,3,FALSE))</f>
        <v>0</v>
      </c>
    </row>
    <row r="37" spans="1:34" ht="13" customHeight="1">
      <c r="A37" s="89" t="str">
        <f>IF(ISERROR(VLOOKUP(C37,Datenblatt!$B$84:$B$97,1,FALSE)),"","Ft")</f>
        <v/>
      </c>
      <c r="B37" s="84">
        <f t="shared" si="0"/>
        <v>45375</v>
      </c>
      <c r="C37" s="86">
        <f t="shared" si="4"/>
        <v>45375</v>
      </c>
      <c r="D37" s="67"/>
      <c r="E37" s="67"/>
      <c r="F37" s="68"/>
      <c r="G37" s="69"/>
      <c r="H37" s="68"/>
      <c r="I37" s="68"/>
      <c r="J37" s="99"/>
      <c r="K37" s="21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20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10" t="str">
        <f>IF(D37="","",IF(E36="ND",VLOOKUP(D37,Datenblatt!$A$2:$C$31,3,FALSE)-1,IF(E36="ND12,5",VLOOKUP(D37,Datenblatt!$A$2:$C$31,3,FALSE)-0.5,VLOOKUP(D37,Datenblatt!$A$2:$C$31,3,FALSE))))</f>
        <v/>
      </c>
      <c r="N37" s="211" t="str">
        <f t="shared" si="2"/>
        <v/>
      </c>
      <c r="O37" s="211">
        <f t="shared" si="3"/>
        <v>0</v>
      </c>
      <c r="P37" s="186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103" t="str">
        <f>IF(D37="","",VLOOKUP(D37,Datenblatt!$A$2:$D$31,4,FALSE))</f>
        <v/>
      </c>
      <c r="R37" s="104" t="str">
        <f>IF(E37="","",VLOOKUP(E37,Datenblatt!$E$2:$G$28,2,FALSE))</f>
        <v/>
      </c>
      <c r="S37" s="105"/>
      <c r="T37" s="111">
        <f t="shared" si="5"/>
        <v>0</v>
      </c>
      <c r="U37" s="114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12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12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54">
        <f t="array" ref="X37">IF(T37=0,0,IF((AND((ROW(T37)=MATCH(TRUE,($T$1:$T$44)&gt;0,0)))),IF(W37&gt;=6,W37-6,0),IF(W37&gt;=2,2,W37)))</f>
        <v>0</v>
      </c>
      <c r="Y37" s="254">
        <f t="array" ref="Y37">IF(T36=0,0,(IF((AND((ROW(T36)=MATCH(TRUE,($T$1:$T$44)&gt;0,0)))),IF(W36&gt;=6,6,W36),IF(W36&gt;=2,W36-2,0))))</f>
        <v>0</v>
      </c>
      <c r="Z37" s="111" t="str">
        <f t="shared" si="6"/>
        <v/>
      </c>
      <c r="AA37" s="214">
        <f>IF(E36="ND",IF(ISERROR(MATCH(D37,Datenblatt!$L$2:$L$18,0)),3,2),IF(E36="ND12,5",IF(ISERROR(MATCH(D37,Datenblatt!$L$2:$L$18,0)),2.5,2),0))</f>
        <v>0</v>
      </c>
      <c r="AB37" s="214">
        <f>IF((IF(E37="ND",14-IF(D37="",0,VLOOKUP(D37,Datenblatt!$L$2:$M$30,2,FALSE)),IF(E37="ND12,5",2,0)))&lt;0,0,(IF(E37="ND",14-IF(D37="",0,VLOOKUP(D37,Datenblatt!$L$2:$M$30,2,FALSE)),IF(E37="ND12,5",2,0))))</f>
        <v>0</v>
      </c>
      <c r="AC37" s="214">
        <f t="shared" si="7"/>
        <v>0</v>
      </c>
      <c r="AD37" s="214">
        <f t="shared" si="8"/>
        <v>0</v>
      </c>
      <c r="AE37" s="214">
        <f t="shared" si="9"/>
        <v>0</v>
      </c>
      <c r="AF37" s="112">
        <f t="shared" si="10"/>
        <v>0</v>
      </c>
      <c r="AG37" s="112">
        <f t="shared" si="11"/>
        <v>0</v>
      </c>
      <c r="AH37" s="112">
        <f>IF(E37="",0,VLOOKUP(E37,Datenblatt!$E$2:$G$28,3,FALSE))</f>
        <v>0</v>
      </c>
    </row>
    <row r="38" spans="1:34" ht="13" customHeight="1">
      <c r="A38" s="89" t="str">
        <f>IF(ISERROR(VLOOKUP(C38,Datenblatt!$B$84:$B$97,1,FALSE)),"","Ft")</f>
        <v/>
      </c>
      <c r="B38" s="84">
        <f t="shared" si="0"/>
        <v>45376</v>
      </c>
      <c r="C38" s="86">
        <f t="shared" si="4"/>
        <v>45376</v>
      </c>
      <c r="D38" s="67"/>
      <c r="E38" s="67"/>
      <c r="F38" s="68"/>
      <c r="G38" s="69"/>
      <c r="H38" s="68"/>
      <c r="I38" s="68"/>
      <c r="J38" s="99"/>
      <c r="K38" s="21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20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10" t="str">
        <f>IF(D38="","",IF(E37="ND",VLOOKUP(D38,Datenblatt!$A$2:$C$31,3,FALSE)-1,IF(E37="ND12,5",VLOOKUP(D38,Datenblatt!$A$2:$C$31,3,FALSE)-0.5,VLOOKUP(D38,Datenblatt!$A$2:$C$31,3,FALSE))))</f>
        <v/>
      </c>
      <c r="N38" s="211" t="str">
        <f t="shared" si="2"/>
        <v/>
      </c>
      <c r="O38" s="211" t="str">
        <f t="shared" si="3"/>
        <v/>
      </c>
      <c r="P38" s="186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103" t="str">
        <f>IF(D38="","",VLOOKUP(D38,Datenblatt!$A$2:$D$31,4,FALSE))</f>
        <v/>
      </c>
      <c r="R38" s="104" t="str">
        <f>IF(E38="","",VLOOKUP(E38,Datenblatt!$E$2:$G$28,2,FALSE))</f>
        <v/>
      </c>
      <c r="S38" s="105"/>
      <c r="T38" s="111">
        <f t="shared" si="5"/>
        <v>0</v>
      </c>
      <c r="U38" s="114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12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12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54">
        <f t="array" ref="X38">IF(T38=0,0,IF((AND((ROW(T38)=MATCH(TRUE,($T$1:$T$44)&gt;0,0)))),IF(W38&gt;=6,W38-6,0),IF(W38&gt;=2,2,W38)))</f>
        <v>0</v>
      </c>
      <c r="Y38" s="254">
        <f t="array" ref="Y38">IF(T37=0,0,(IF((AND((ROW(T37)=MATCH(TRUE,($T$1:$T$44)&gt;0,0)))),IF(W37&gt;=6,6,W37),IF(W37&gt;=2,W37-2,0))))</f>
        <v>0</v>
      </c>
      <c r="Z38" s="111" t="str">
        <f t="shared" si="6"/>
        <v/>
      </c>
      <c r="AA38" s="214">
        <f>IF(E37="ND",IF(ISERROR(MATCH(D38,Datenblatt!$L$2:$L$18,0)),3,2),IF(E37="ND12,5",IF(ISERROR(MATCH(D38,Datenblatt!$L$2:$L$18,0)),2.5,2),0))</f>
        <v>0</v>
      </c>
      <c r="AB38" s="214">
        <f>IF((IF(E38="ND",14-IF(D38="",0,VLOOKUP(D38,Datenblatt!$L$2:$M$30,2,FALSE)),IF(E38="ND12,5",2,0)))&lt;0,0,(IF(E38="ND",14-IF(D38="",0,VLOOKUP(D38,Datenblatt!$L$2:$M$30,2,FALSE)),IF(E38="ND12,5",2,0))))</f>
        <v>0</v>
      </c>
      <c r="AC38" s="214">
        <f t="shared" si="7"/>
        <v>0</v>
      </c>
      <c r="AD38" s="214">
        <f t="shared" si="8"/>
        <v>0</v>
      </c>
      <c r="AE38" s="214">
        <f t="shared" si="9"/>
        <v>0</v>
      </c>
      <c r="AF38" s="112">
        <f t="shared" si="10"/>
        <v>0</v>
      </c>
      <c r="AG38" s="112">
        <f t="shared" si="11"/>
        <v>0</v>
      </c>
      <c r="AH38" s="112">
        <f>IF(E38="",0,VLOOKUP(E38,Datenblatt!$E$2:$G$28,3,FALSE))</f>
        <v>0</v>
      </c>
    </row>
    <row r="39" spans="1:34" ht="13" customHeight="1">
      <c r="A39" s="89" t="str">
        <f>IF(ISERROR(VLOOKUP(C39,Datenblatt!$B$84:$B$97,1,FALSE)),"","Ft")</f>
        <v/>
      </c>
      <c r="B39" s="84">
        <f t="shared" si="0"/>
        <v>45377</v>
      </c>
      <c r="C39" s="86">
        <f t="shared" si="4"/>
        <v>45377</v>
      </c>
      <c r="D39" s="67"/>
      <c r="E39" s="67"/>
      <c r="F39" s="68"/>
      <c r="G39" s="69"/>
      <c r="H39" s="68"/>
      <c r="I39" s="68"/>
      <c r="J39" s="99"/>
      <c r="K39" s="21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20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10" t="str">
        <f>IF(D39="","",IF(E38="ND",VLOOKUP(D39,Datenblatt!$A$2:$C$31,3,FALSE)-1,IF(E38="ND12,5",VLOOKUP(D39,Datenblatt!$A$2:$C$31,3,FALSE)-0.5,VLOOKUP(D39,Datenblatt!$A$2:$C$31,3,FALSE))))</f>
        <v/>
      </c>
      <c r="N39" s="211" t="str">
        <f t="shared" si="2"/>
        <v/>
      </c>
      <c r="O39" s="211" t="str">
        <f t="shared" si="3"/>
        <v/>
      </c>
      <c r="P39" s="186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103" t="str">
        <f>IF(D39="","",VLOOKUP(D39,Datenblatt!$A$2:$D$31,4,FALSE))</f>
        <v/>
      </c>
      <c r="R39" s="104" t="str">
        <f>IF(E39="","",VLOOKUP(E39,Datenblatt!$E$2:$G$28,2,FALSE))</f>
        <v/>
      </c>
      <c r="S39" s="105"/>
      <c r="T39" s="111">
        <f t="shared" si="5"/>
        <v>0</v>
      </c>
      <c r="U39" s="114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12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12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54">
        <f t="array" ref="X39">IF(T39=0,0,IF((AND((ROW(T39)=MATCH(TRUE,($T$1:$T$44)&gt;0,0)))),IF(W39&gt;=6,W39-6,0),IF(W39&gt;=2,2,W39)))</f>
        <v>0</v>
      </c>
      <c r="Y39" s="254">
        <f t="array" ref="Y39">IF(T38=0,0,(IF((AND((ROW(T38)=MATCH(TRUE,($T$1:$T$44)&gt;0,0)))),IF(W38&gt;=6,6,W38),IF(W38&gt;=2,W38-2,0))))</f>
        <v>0</v>
      </c>
      <c r="Z39" s="111" t="str">
        <f t="shared" si="6"/>
        <v/>
      </c>
      <c r="AA39" s="214">
        <f>IF(E38="ND",IF(ISERROR(MATCH(D39,Datenblatt!$L$2:$L$18,0)),3,2),IF(E38="ND12,5",IF(ISERROR(MATCH(D39,Datenblatt!$L$2:$L$18,0)),2.5,2),0))</f>
        <v>0</v>
      </c>
      <c r="AB39" s="214">
        <f>IF((IF(E39="ND",14-IF(D39="",0,VLOOKUP(D39,Datenblatt!$L$2:$M$30,2,FALSE)),IF(E39="ND12,5",2,0)))&lt;0,0,(IF(E39="ND",14-IF(D39="",0,VLOOKUP(D39,Datenblatt!$L$2:$M$30,2,FALSE)),IF(E39="ND12,5",2,0))))</f>
        <v>0</v>
      </c>
      <c r="AC39" s="214">
        <f t="shared" si="7"/>
        <v>0</v>
      </c>
      <c r="AD39" s="214">
        <f t="shared" si="8"/>
        <v>0</v>
      </c>
      <c r="AE39" s="214">
        <f t="shared" si="9"/>
        <v>0</v>
      </c>
      <c r="AF39" s="112">
        <f t="shared" si="10"/>
        <v>0</v>
      </c>
      <c r="AG39" s="112">
        <f t="shared" si="11"/>
        <v>0</v>
      </c>
      <c r="AH39" s="112">
        <f>IF(E39="",0,VLOOKUP(E39,Datenblatt!$E$2:$G$28,3,FALSE))</f>
        <v>0</v>
      </c>
    </row>
    <row r="40" spans="1:34" ht="13" customHeight="1">
      <c r="A40" s="89" t="str">
        <f>IF(ISERROR(VLOOKUP(C40,Datenblatt!$B$84:$B$97,1,FALSE)),"","Ft")</f>
        <v/>
      </c>
      <c r="B40" s="84">
        <f t="shared" si="0"/>
        <v>45378</v>
      </c>
      <c r="C40" s="86">
        <f t="shared" si="4"/>
        <v>45378</v>
      </c>
      <c r="D40" s="67"/>
      <c r="E40" s="67"/>
      <c r="F40" s="68"/>
      <c r="G40" s="69"/>
      <c r="H40" s="68"/>
      <c r="I40" s="68"/>
      <c r="J40" s="99"/>
      <c r="K40" s="21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20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10" t="str">
        <f>IF(D40="","",IF(E39="ND",VLOOKUP(D40,Datenblatt!$A$2:$C$31,3,FALSE)-1,IF(E39="ND12,5",VLOOKUP(D40,Datenblatt!$A$2:$C$31,3,FALSE)-0.5,VLOOKUP(D40,Datenblatt!$A$2:$C$31,3,FALSE))))</f>
        <v/>
      </c>
      <c r="N40" s="211" t="str">
        <f t="shared" si="2"/>
        <v/>
      </c>
      <c r="O40" s="211" t="str">
        <f t="shared" si="3"/>
        <v/>
      </c>
      <c r="P40" s="186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103" t="str">
        <f>IF(D40="","",VLOOKUP(D40,Datenblatt!$A$2:$D$31,4,FALSE))</f>
        <v/>
      </c>
      <c r="R40" s="104" t="str">
        <f>IF(E40="","",VLOOKUP(E40,Datenblatt!$E$2:$G$28,2,FALSE))</f>
        <v/>
      </c>
      <c r="S40" s="106"/>
      <c r="T40" s="111">
        <f t="shared" si="5"/>
        <v>0</v>
      </c>
      <c r="U40" s="114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12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12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54">
        <f t="array" ref="X40">IF(T40=0,0,IF((AND((ROW(T40)=MATCH(TRUE,($T$1:$T$44)&gt;0,0)))),IF(W40&gt;=6,W40-6,0),IF(W40&gt;=2,2,W40)))</f>
        <v>0</v>
      </c>
      <c r="Y40" s="254">
        <f t="array" ref="Y40">IF(T39=0,0,(IF((AND((ROW(T39)=MATCH(TRUE,($T$1:$T$44)&gt;0,0)))),IF(W39&gt;=6,6,W39),IF(W39&gt;=2,W39-2,0))))</f>
        <v>0</v>
      </c>
      <c r="Z40" s="111" t="str">
        <f t="shared" si="6"/>
        <v/>
      </c>
      <c r="AA40" s="214">
        <f>IF(E39="ND",IF(ISERROR(MATCH(D40,Datenblatt!$L$2:$L$18,0)),3,2),IF(E39="ND12,5",IF(ISERROR(MATCH(D40,Datenblatt!$L$2:$L$18,0)),2.5,2),0))</f>
        <v>0</v>
      </c>
      <c r="AB40" s="214">
        <f>IF((IF(E40="ND",14-IF(D40="",0,VLOOKUP(D40,Datenblatt!$L$2:$M$30,2,FALSE)),IF(E40="ND12,5",2,0)))&lt;0,0,(IF(E40="ND",14-IF(D40="",0,VLOOKUP(D40,Datenblatt!$L$2:$M$30,2,FALSE)),IF(E40="ND12,5",2,0))))</f>
        <v>0</v>
      </c>
      <c r="AC40" s="214">
        <f t="shared" si="7"/>
        <v>0</v>
      </c>
      <c r="AD40" s="214">
        <f t="shared" si="8"/>
        <v>0</v>
      </c>
      <c r="AE40" s="214">
        <f t="shared" si="9"/>
        <v>0</v>
      </c>
      <c r="AF40" s="112">
        <f t="shared" si="10"/>
        <v>0</v>
      </c>
      <c r="AG40" s="112">
        <f t="shared" si="11"/>
        <v>0</v>
      </c>
      <c r="AH40" s="112">
        <f>IF(E40="",0,VLOOKUP(E40,Datenblatt!$E$2:$G$28,3,FALSE))</f>
        <v>0</v>
      </c>
    </row>
    <row r="41" spans="1:34" ht="13" customHeight="1">
      <c r="A41" s="89" t="str">
        <f>IF(ISERROR(VLOOKUP(C41,Datenblatt!$B$84:$B$97,1,FALSE)),"","Ft")</f>
        <v/>
      </c>
      <c r="B41" s="84">
        <f t="shared" si="0"/>
        <v>45379</v>
      </c>
      <c r="C41" s="86">
        <f t="shared" si="4"/>
        <v>45379</v>
      </c>
      <c r="D41" s="67"/>
      <c r="E41" s="67"/>
      <c r="F41" s="68"/>
      <c r="G41" s="69"/>
      <c r="H41" s="68"/>
      <c r="I41" s="68"/>
      <c r="J41" s="99"/>
      <c r="K41" s="21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20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10" t="str">
        <f>IF(D41="","",IF(E40="ND",VLOOKUP(D41,Datenblatt!$A$2:$C$31,3,FALSE)-1,IF(E40="ND12,5",VLOOKUP(D41,Datenblatt!$A$2:$C$31,3,FALSE)-0.5,VLOOKUP(D41,Datenblatt!$A$2:$C$31,3,FALSE))))</f>
        <v/>
      </c>
      <c r="N41" s="211" t="str">
        <f t="shared" si="2"/>
        <v/>
      </c>
      <c r="O41" s="211" t="str">
        <f t="shared" si="3"/>
        <v/>
      </c>
      <c r="P41" s="186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103" t="str">
        <f>IF(D41="","",VLOOKUP(D41,Datenblatt!$A$2:$D$31,4,FALSE))</f>
        <v/>
      </c>
      <c r="R41" s="104" t="str">
        <f>IF(E41="","",VLOOKUP(E41,Datenblatt!$E$2:$G$28,2,FALSE))</f>
        <v/>
      </c>
      <c r="S41" s="106"/>
      <c r="T41" s="111">
        <f t="shared" si="5"/>
        <v>0</v>
      </c>
      <c r="U41" s="114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12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12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54">
        <f t="array" ref="X41">IF(T41=0,0,IF((AND((ROW(T41)=MATCH(TRUE,($T$1:$T$44)&gt;0,0)))),IF(W41&gt;=6,W41-6,0),IF(W41&gt;=2,2,W41)))</f>
        <v>0</v>
      </c>
      <c r="Y41" s="254">
        <f t="array" ref="Y41">IF(T40=0,0,(IF((AND((ROW(T40)=MATCH(TRUE,($T$1:$T$44)&gt;0,0)))),IF(W40&gt;=6,6,W40),IF(W40&gt;=2,W40-2,0))))</f>
        <v>0</v>
      </c>
      <c r="Z41" s="111" t="str">
        <f t="shared" si="6"/>
        <v/>
      </c>
      <c r="AA41" s="214">
        <f>IF(E40="ND",IF(ISERROR(MATCH(D41,Datenblatt!$L$2:$L$18,0)),3,2),IF(E40="ND12,5",IF(ISERROR(MATCH(D41,Datenblatt!$L$2:$L$18,0)),2.5,2),0))</f>
        <v>0</v>
      </c>
      <c r="AB41" s="214">
        <f>IF((IF(E41="ND",14-IF(D41="",0,VLOOKUP(D41,Datenblatt!$L$2:$M$30,2,FALSE)),IF(E41="ND12,5",2,0)))&lt;0,0,(IF(E41="ND",14-IF(D41="",0,VLOOKUP(D41,Datenblatt!$L$2:$M$30,2,FALSE)),IF(E41="ND12,5",2,0))))</f>
        <v>0</v>
      </c>
      <c r="AC41" s="214">
        <f t="shared" si="7"/>
        <v>0</v>
      </c>
      <c r="AD41" s="214">
        <f t="shared" si="8"/>
        <v>0</v>
      </c>
      <c r="AE41" s="214">
        <f t="shared" si="9"/>
        <v>0</v>
      </c>
      <c r="AF41" s="112">
        <f t="shared" si="10"/>
        <v>0</v>
      </c>
      <c r="AG41" s="112">
        <f t="shared" si="11"/>
        <v>0</v>
      </c>
      <c r="AH41" s="112">
        <f>IF(E41="",0,VLOOKUP(E41,Datenblatt!$E$2:$G$28,3,FALSE))</f>
        <v>0</v>
      </c>
    </row>
    <row r="42" spans="1:34" ht="13" customHeight="1">
      <c r="A42" s="89" t="str">
        <f>IF(ISERROR(VLOOKUP(C42,Datenblatt!$B$84:$B$97,1,FALSE)),"","Ft")</f>
        <v/>
      </c>
      <c r="B42" s="84">
        <f t="shared" si="0"/>
        <v>45380</v>
      </c>
      <c r="C42" s="86">
        <f>C41+1</f>
        <v>45380</v>
      </c>
      <c r="D42" s="67"/>
      <c r="E42" s="67"/>
      <c r="F42" s="68"/>
      <c r="G42" s="69"/>
      <c r="H42" s="68"/>
      <c r="I42" s="68"/>
      <c r="J42" s="99"/>
      <c r="K42" s="21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20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10" t="str">
        <f>IF(D42="","",IF(E41="ND",VLOOKUP(D42,Datenblatt!$A$2:$C$31,3,FALSE)-1,IF(E41="ND12,5",VLOOKUP(D42,Datenblatt!$A$2:$C$31,3,FALSE)-0.5,VLOOKUP(D42,Datenblatt!$A$2:$C$31,3,FALSE))))</f>
        <v/>
      </c>
      <c r="N42" s="211" t="str">
        <f t="shared" si="2"/>
        <v/>
      </c>
      <c r="O42" s="211" t="str">
        <f t="shared" si="3"/>
        <v/>
      </c>
      <c r="P42" s="186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103" t="str">
        <f>IF(D42="","",VLOOKUP(D42,Datenblatt!$A$2:$D$31,4,FALSE))</f>
        <v/>
      </c>
      <c r="R42" s="104" t="str">
        <f>IF(E42="","",VLOOKUP(E42,Datenblatt!$E$2:$G$28,2,FALSE))</f>
        <v/>
      </c>
      <c r="S42" s="106"/>
      <c r="T42" s="111">
        <f t="shared" si="5"/>
        <v>0</v>
      </c>
      <c r="U42" s="114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12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12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54">
        <f t="array" ref="X42">IF(T42=0,0,IF((AND((ROW(T42)=MATCH(TRUE,($T$1:$T$44)&gt;0,0)))),IF(W42&gt;=6,W42-6,0),IF(W42&gt;=2,2,W42)))</f>
        <v>0</v>
      </c>
      <c r="Y42" s="254">
        <f t="array" ref="Y42">IF(T41=0,0,(IF((AND((ROW(T41)=MATCH(TRUE,($T$1:$T$44)&gt;0,0)))),IF(W41&gt;=6,6,W41),IF(W41&gt;=2,W41-2,0))))</f>
        <v>0</v>
      </c>
      <c r="Z42" s="111" t="str">
        <f t="shared" si="6"/>
        <v/>
      </c>
      <c r="AA42" s="214">
        <f>IF(E41="ND",IF(ISERROR(MATCH(D42,Datenblatt!$L$2:$L$18,0)),3,2),IF(E41="ND12,5",IF(ISERROR(MATCH(D42,Datenblatt!$L$2:$L$18,0)),2.5,2),0))</f>
        <v>0</v>
      </c>
      <c r="AB42" s="214">
        <f>IF((IF(E42="ND",14-IF(D42="",0,VLOOKUP(D42,Datenblatt!$L$2:$M$30,2,FALSE)),IF(E42="ND12,5",2,0)))&lt;0,0,(IF(E42="ND",14-IF(D42="",0,VLOOKUP(D42,Datenblatt!$L$2:$M$30,2,FALSE)),IF(E42="ND12,5",2,0))))</f>
        <v>0</v>
      </c>
      <c r="AC42" s="214">
        <f t="shared" si="7"/>
        <v>0</v>
      </c>
      <c r="AD42" s="214">
        <f t="shared" si="8"/>
        <v>0</v>
      </c>
      <c r="AE42" s="214">
        <f t="shared" si="9"/>
        <v>0</v>
      </c>
      <c r="AF42" s="112">
        <f t="shared" si="10"/>
        <v>0</v>
      </c>
      <c r="AG42" s="112">
        <f t="shared" si="11"/>
        <v>0</v>
      </c>
      <c r="AH42" s="112">
        <f>IF(E42="",0,VLOOKUP(E42,Datenblatt!$E$2:$G$28,3,FALSE))</f>
        <v>0</v>
      </c>
    </row>
    <row r="43" spans="1:34" ht="13" customHeight="1">
      <c r="A43" s="89" t="str">
        <f>IF(ISERROR(VLOOKUP(C43,Datenblatt!$B$84:$B$97,1,FALSE)),"","Ft")</f>
        <v/>
      </c>
      <c r="B43" s="84">
        <f t="shared" si="0"/>
        <v>45381</v>
      </c>
      <c r="C43" s="87">
        <f>C42+1</f>
        <v>45381</v>
      </c>
      <c r="D43" s="67"/>
      <c r="E43" s="67"/>
      <c r="F43" s="68"/>
      <c r="G43" s="69"/>
      <c r="H43" s="68"/>
      <c r="I43" s="68"/>
      <c r="J43" s="99"/>
      <c r="K43" s="21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209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210" t="str">
        <f>IF(D43="","",IF(E42="ND",VLOOKUP(D43,Datenblatt!$A$2:$C$31,3,FALSE)-1,IF(E42="ND12,5",VLOOKUP(D43,Datenblatt!$A$2:$C$31,3,FALSE)-0.5,VLOOKUP(D43,Datenblatt!$A$2:$C$31,3,FALSE))))</f>
        <v/>
      </c>
      <c r="N43" s="211" t="str">
        <f t="shared" si="2"/>
        <v/>
      </c>
      <c r="O43" s="211" t="str">
        <f t="shared" si="3"/>
        <v/>
      </c>
      <c r="P43" s="186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103" t="str">
        <f>IF(D43="","",VLOOKUP(D43,Datenblatt!$A$2:$D$31,4,FALSE))</f>
        <v/>
      </c>
      <c r="R43" s="104" t="str">
        <f>IF(E43="","",VLOOKUP(E43,Datenblatt!$E$2:$G$28,2,FALSE))</f>
        <v/>
      </c>
      <c r="S43" s="107"/>
      <c r="T43" s="111">
        <f t="shared" si="5"/>
        <v>0</v>
      </c>
      <c r="U43" s="114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12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12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54">
        <f t="array" ref="X43">IF(T43=0,0,IF((AND((ROW(T43)=MATCH(TRUE,($T$1:$T$44)&gt;0,0)))),IF(W43&gt;=6,W43-6,0),IF(W43&gt;=2,2,W43)))</f>
        <v>0</v>
      </c>
      <c r="Y43" s="254">
        <f t="array" ref="Y43">IF(T42=0,0,(IF((AND((ROW(T42)=MATCH(TRUE,($T$1:$T$44)&gt;0,0)))),IF(W42&gt;=6,6,W42),IF(W42&gt;=2,W42-2,0))))</f>
        <v>0</v>
      </c>
      <c r="Z43" s="111" t="str">
        <f t="shared" si="6"/>
        <v/>
      </c>
      <c r="AA43" s="214">
        <f>IF(E42="ND",IF(ISERROR(MATCH(D43,Datenblatt!$L$2:$L$18,0)),3,2),IF(E42="ND12,5",IF(ISERROR(MATCH(D43,Datenblatt!$L$2:$L$18,0)),2.5,2),0))</f>
        <v>0</v>
      </c>
      <c r="AB43" s="214">
        <f>IF((IF(E43="ND",14-IF(D43="",0,VLOOKUP(D43,Datenblatt!$L$2:$M$30,2,FALSE)),IF(E43="ND12,5",2,0)))&lt;0,0,(IF(E43="ND",14-IF(D43="",0,VLOOKUP(D43,Datenblatt!$L$2:$M$30,2,FALSE)),IF(E43="ND12,5",2,0))))</f>
        <v>0</v>
      </c>
      <c r="AC43" s="214">
        <f t="shared" si="7"/>
        <v>0</v>
      </c>
      <c r="AD43" s="214">
        <f t="shared" si="8"/>
        <v>0</v>
      </c>
      <c r="AE43" s="214">
        <f t="shared" si="9"/>
        <v>0</v>
      </c>
      <c r="AF43" s="112">
        <f t="shared" si="10"/>
        <v>0</v>
      </c>
      <c r="AG43" s="112">
        <f t="shared" si="11"/>
        <v>0</v>
      </c>
      <c r="AH43" s="112">
        <f>IF(E43="",0,VLOOKUP(E43,Datenblatt!$E$2:$G$28,3,FALSE))</f>
        <v>0</v>
      </c>
    </row>
    <row r="44" spans="1:34" ht="13" customHeight="1">
      <c r="A44" s="89" t="str">
        <f>IF(ISERROR(VLOOKUP(C44,Datenblatt!$B$84:$B$97,1,FALSE)),"","Ft")</f>
        <v>Ft</v>
      </c>
      <c r="B44" s="159">
        <f t="shared" si="0"/>
        <v>45382</v>
      </c>
      <c r="C44" s="160">
        <f>C43+1</f>
        <v>45382</v>
      </c>
      <c r="D44" s="67"/>
      <c r="E44" s="67"/>
      <c r="F44" s="68"/>
      <c r="G44" s="69"/>
      <c r="H44" s="68"/>
      <c r="I44" s="68"/>
      <c r="J44" s="99"/>
      <c r="K44" s="212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209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210" t="str">
        <f>IF(D44="","",IF(E43="ND",VLOOKUP(D44,Datenblatt!$A$2:$C$31,3,FALSE)-1,IF(E43="ND12,5",VLOOKUP(D44,Datenblatt!$A$2:$C$31,3,FALSE)-0.5,VLOOKUP(D44,Datenblatt!$A$2:$C$31,3,FALSE)-M45)))</f>
        <v/>
      </c>
      <c r="N44" s="211" t="str">
        <f t="shared" si="2"/>
        <v/>
      </c>
      <c r="O44" s="211">
        <f t="shared" si="3"/>
        <v>0</v>
      </c>
      <c r="P44" s="186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103" t="str">
        <f>IF(D44="","",VLOOKUP(D44,Datenblatt!$A$2:$D$31,4,FALSE))</f>
        <v/>
      </c>
      <c r="R44" s="104" t="str">
        <f>IF(E44="","",VLOOKUP(E44,Datenblatt!$E$2:$G$28,2,FALSE))</f>
        <v/>
      </c>
      <c r="S44" s="107"/>
      <c r="T44" s="111">
        <f t="shared" si="5"/>
        <v>0</v>
      </c>
      <c r="U44" s="114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12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12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54">
        <f t="array" ref="X44">IF(T44=0,0,IF((AND((ROW(T44)=MATCH(TRUE,($T$1:$T$44)&gt;0,0)))),IF(W44&gt;=0,W44-0,0),IF(W44&gt;=2,2,W44)))</f>
        <v>0</v>
      </c>
      <c r="Y44" s="254">
        <f t="array" ref="Y44">IF(T43=0,0,(IF((AND((ROW(T43)=MATCH(TRUE,($T$1:$T$44)&gt;0,0)))),IF(W43&gt;=6,6,W43),IF(W43&gt;=2,W43-2,0))))</f>
        <v>0</v>
      </c>
      <c r="Z44" s="111" t="str">
        <f t="shared" si="6"/>
        <v/>
      </c>
      <c r="AA44" s="214">
        <f>IF(E43="ND",IF(ISERROR(MATCH(D44,Datenblatt!$L$2:$L$18,0)),3,2),IF(E43="ND12,5",IF(ISERROR(MATCH(D44,Datenblatt!$L$2:$L$18,0)),2.5,2),0))</f>
        <v>0</v>
      </c>
      <c r="AB44" s="214">
        <f>IF((IF(E44="ND",14-IF(D44="",0,VLOOKUP(D44,Datenblatt!$L$2:$M$30,2,FALSE)),IF(E44="ND12,5",2,0)))&lt;0,0,(IF(E44="ND",14-IF(D44="",0,VLOOKUP(D44,Datenblatt!$L$2:$M$30,2,FALSE)),IF(E44="ND12,5",2,0))))</f>
        <v>0</v>
      </c>
      <c r="AC44" s="214">
        <f t="shared" si="7"/>
        <v>0</v>
      </c>
      <c r="AD44" s="214">
        <f t="shared" si="8"/>
        <v>0</v>
      </c>
      <c r="AE44" s="214">
        <f t="shared" si="9"/>
        <v>0</v>
      </c>
      <c r="AF44" s="112">
        <f t="shared" si="10"/>
        <v>0</v>
      </c>
      <c r="AG44" s="112">
        <f t="shared" si="11"/>
        <v>0</v>
      </c>
      <c r="AH44" s="112">
        <f>IF(E44="",0,VLOOKUP(E44,Datenblatt!$E$2:$G$28,3,FALSE))</f>
        <v>0</v>
      </c>
    </row>
    <row r="45" spans="1:34" ht="13" customHeight="1" thickBot="1">
      <c r="A45" s="227" t="str">
        <f>IF(ISERROR(VLOOKUP(C45,Datenblatt!$B$84:$B$97,1,FALSE)),"","Ft")</f>
        <v/>
      </c>
      <c r="B45" s="153"/>
      <c r="C45" s="150"/>
      <c r="D45" s="150"/>
      <c r="E45" s="150"/>
      <c r="F45" s="150"/>
      <c r="G45" s="150"/>
      <c r="H45" s="150"/>
      <c r="I45" s="150"/>
      <c r="J45" s="154">
        <f>SUM(J14:J44)</f>
        <v>0</v>
      </c>
      <c r="K45" s="213">
        <f>SUM(K14:K44)</f>
        <v>0</v>
      </c>
      <c r="L45" s="172" t="str">
        <f>IF(D44="ND",9,IF(D44="ND12,5",8.5,"0"))</f>
        <v>0</v>
      </c>
      <c r="M45" s="172" t="str">
        <f>IF(D44="ND",9,IF(D44="ND12,5",8.5,"0"))</f>
        <v>0</v>
      </c>
      <c r="N45" s="221">
        <f t="shared" ref="N45:O45" si="12">SUM(N14:N44)</f>
        <v>0</v>
      </c>
      <c r="O45" s="221">
        <f t="shared" si="12"/>
        <v>0</v>
      </c>
      <c r="P45" s="197">
        <f>SUM(P14:P44)</f>
        <v>0</v>
      </c>
      <c r="Q45" s="173"/>
      <c r="R45" s="156"/>
      <c r="S45" s="157"/>
      <c r="T45" s="155"/>
      <c r="U45" s="115"/>
      <c r="V45" s="116"/>
      <c r="W45" s="116"/>
      <c r="X45" s="116"/>
      <c r="Y45" s="116"/>
      <c r="Z45" s="155"/>
      <c r="AA45" s="215"/>
      <c r="AB45" s="215"/>
      <c r="AC45" s="215"/>
      <c r="AD45" s="215"/>
      <c r="AE45" s="215"/>
      <c r="AF45" s="118"/>
      <c r="AG45" s="118"/>
    </row>
    <row r="46" spans="1:34" s="80" customFormat="1" ht="0.75" customHeight="1" thickBot="1">
      <c r="A46" s="470"/>
      <c r="B46" s="70"/>
      <c r="C46" s="71"/>
      <c r="D46" s="72"/>
      <c r="E46" s="102"/>
      <c r="F46" s="73"/>
      <c r="G46" s="74"/>
      <c r="H46" s="75"/>
      <c r="I46" s="74"/>
      <c r="J46" s="76"/>
      <c r="K46" s="94"/>
      <c r="L46" s="75"/>
      <c r="M46" s="77"/>
      <c r="N46" s="77"/>
      <c r="O46" s="78"/>
      <c r="P46" s="79"/>
      <c r="Q46" s="74"/>
      <c r="R46" s="70"/>
      <c r="T46" s="117"/>
      <c r="U46" s="117"/>
      <c r="V46" s="117"/>
      <c r="W46" s="117"/>
      <c r="X46" s="117"/>
      <c r="Y46" s="117"/>
      <c r="Z46" s="187"/>
      <c r="AA46" s="216"/>
      <c r="AB46" s="216"/>
      <c r="AC46" s="216"/>
      <c r="AD46" s="216"/>
      <c r="AE46" s="216"/>
      <c r="AF46" s="243"/>
      <c r="AG46" s="243"/>
      <c r="AH46" s="300"/>
    </row>
    <row r="47" spans="1:34" s="66" customFormat="1">
      <c r="A47" s="227"/>
      <c r="B47" s="168" t="s">
        <v>147</v>
      </c>
      <c r="C47" s="168"/>
      <c r="D47" s="59"/>
      <c r="E47" s="59"/>
      <c r="F47" s="56"/>
      <c r="G47" s="56"/>
      <c r="H47" s="56"/>
      <c r="I47" s="251"/>
      <c r="J47" s="251"/>
      <c r="K47" s="251"/>
      <c r="L47" s="542" t="s">
        <v>289</v>
      </c>
      <c r="M47" s="542"/>
      <c r="N47" s="542"/>
      <c r="O47" s="543"/>
      <c r="P47" s="201" t="s">
        <v>146</v>
      </c>
      <c r="Q47" s="348">
        <f>IF($P$47="ja",SUMPRODUCT((WEEKDAY($B$14:$B$44,2)=1)*2),0)</f>
        <v>0</v>
      </c>
      <c r="R47" s="158"/>
      <c r="S47" s="171"/>
      <c r="T47" s="118"/>
      <c r="U47" s="118"/>
      <c r="V47" s="118"/>
      <c r="W47" s="118"/>
      <c r="X47" s="118"/>
      <c r="Y47" s="118"/>
      <c r="Z47" s="188"/>
      <c r="AA47" s="217"/>
      <c r="AB47" s="217"/>
      <c r="AC47" s="217"/>
      <c r="AD47" s="217"/>
      <c r="AE47" s="217"/>
      <c r="AF47" s="118"/>
      <c r="AG47" s="118"/>
      <c r="AH47" s="301"/>
    </row>
    <row r="48" spans="1:34" s="66" customFormat="1">
      <c r="A48" s="227"/>
      <c r="B48" s="191" t="str">
        <f>"Verrechnung von Sonderzahlungen, Überstunden, Nachtgutstunden und Nachtdiensten erfolgt im Folgemonat"&amp;" "&amp;Start!$B$18</f>
        <v>Verrechnung von Sonderzahlungen, Überstunden, Nachtgutstunden und Nachtdiensten erfolgt im Folgemonat April</v>
      </c>
      <c r="C48" s="168"/>
      <c r="D48" s="59"/>
      <c r="E48" s="59"/>
      <c r="F48" s="56"/>
      <c r="G48" s="56"/>
      <c r="H48" s="82"/>
      <c r="I48" s="82"/>
      <c r="J48" s="83"/>
      <c r="K48" s="83"/>
      <c r="L48" s="538" t="s">
        <v>290</v>
      </c>
      <c r="M48" s="538"/>
      <c r="N48" s="538"/>
      <c r="O48" s="539"/>
      <c r="P48" s="204" t="s">
        <v>292</v>
      </c>
      <c r="Q48" s="347" t="str">
        <f>IF($P$48="Freizeit","       als Gutstunden abgerechnet","       im Folgemonat ausbezahlt")</f>
        <v xml:space="preserve">       als Gutstunden abgerechnet</v>
      </c>
      <c r="R48" s="203"/>
      <c r="S48" s="192"/>
      <c r="T48" s="118"/>
      <c r="U48" s="118"/>
      <c r="V48" s="118"/>
      <c r="W48" s="118"/>
      <c r="X48" s="118"/>
      <c r="Y48" s="118"/>
      <c r="Z48" s="188"/>
      <c r="AA48" s="217"/>
      <c r="AB48" s="217"/>
      <c r="AC48" s="217"/>
      <c r="AD48" s="217"/>
      <c r="AE48" s="217"/>
      <c r="AF48" s="118"/>
      <c r="AG48" s="118"/>
      <c r="AH48" s="301"/>
    </row>
    <row r="49" spans="1:34" s="66" customFormat="1" ht="15" thickBot="1">
      <c r="A49" s="227"/>
      <c r="B49" s="168"/>
      <c r="C49" s="168"/>
      <c r="D49" s="59"/>
      <c r="E49" s="59"/>
      <c r="F49" s="56"/>
      <c r="G49" s="56"/>
      <c r="H49" s="82"/>
      <c r="I49" s="82"/>
      <c r="J49" s="83"/>
      <c r="K49" s="83"/>
      <c r="L49" s="88"/>
      <c r="M49" s="88"/>
      <c r="N49" s="59"/>
      <c r="O49" s="59"/>
      <c r="P49" s="59"/>
      <c r="S49" s="56"/>
      <c r="T49" s="118"/>
      <c r="U49" s="118"/>
      <c r="V49" s="118"/>
      <c r="W49" s="118"/>
      <c r="X49" s="118"/>
      <c r="Y49" s="118"/>
      <c r="Z49" s="188"/>
      <c r="AA49" s="217"/>
      <c r="AB49" s="217"/>
      <c r="AC49" s="217"/>
      <c r="AD49" s="217"/>
      <c r="AE49" s="217"/>
      <c r="AF49" s="118"/>
      <c r="AG49" s="118"/>
      <c r="AH49" s="301"/>
    </row>
    <row r="50" spans="1:34" s="59" customFormat="1" ht="13" customHeight="1">
      <c r="A50" s="471"/>
      <c r="B50" s="452" t="s">
        <v>248</v>
      </c>
      <c r="C50" s="608" t="s">
        <v>249</v>
      </c>
      <c r="D50" s="608"/>
      <c r="E50" s="453" t="s">
        <v>412</v>
      </c>
      <c r="F50" s="272"/>
      <c r="G50" s="317" t="s">
        <v>83</v>
      </c>
      <c r="H50" s="318"/>
      <c r="I50" s="322"/>
      <c r="J50" s="322"/>
      <c r="K50" s="322"/>
      <c r="L50" s="319">
        <f>$Q$6</f>
        <v>5365.31</v>
      </c>
      <c r="N50" s="612" t="str">
        <f>"Monatsprofil"&amp;" "&amp;Start!$B$17</f>
        <v>Monatsprofil März</v>
      </c>
      <c r="O50" s="613"/>
      <c r="P50" s="614"/>
      <c r="T50" s="242"/>
      <c r="U50" s="242"/>
      <c r="V50" s="242"/>
      <c r="W50" s="242"/>
      <c r="X50" s="242"/>
      <c r="Y50" s="242"/>
      <c r="Z50" s="188"/>
      <c r="AA50" s="217"/>
      <c r="AB50" s="217"/>
      <c r="AC50" s="217"/>
      <c r="AD50" s="217"/>
      <c r="AE50" s="217"/>
      <c r="AF50" s="242"/>
      <c r="AG50" s="242"/>
      <c r="AH50" s="302"/>
    </row>
    <row r="51" spans="1:34" s="89" customFormat="1" ht="13" customHeight="1">
      <c r="A51" s="227"/>
      <c r="B51" s="355">
        <f>COUNTIF($D$14:$E$44,"U")-COUNTIFS($D$14:$D$44,"U",$E$14:$E$44,"K")-COUNTIFS($D$14:$D$44,"U",$E$14:$E$44,"PK")</f>
        <v>0</v>
      </c>
      <c r="C51" s="454" t="s">
        <v>18</v>
      </c>
      <c r="D51" s="455">
        <f>SUMIFS($P$14:$P$44,$D$14:$D$44,"U")+SUMIFS($P$14:$P$44,$E$14:$E$44,"U")</f>
        <v>0</v>
      </c>
      <c r="E51" s="456"/>
      <c r="F51" s="316"/>
      <c r="G51" s="341" t="s">
        <v>354</v>
      </c>
      <c r="H51" s="342"/>
      <c r="I51" s="343"/>
      <c r="J51" s="343"/>
      <c r="K51" s="343"/>
      <c r="L51" s="344">
        <f>IF(OR(Start!$D$8=Gehalt!$K$37,Start!$D$8=Gehalt!$K$39,Start!$D$8=Gehalt!$K$41),Gehalt!$C$29,0)</f>
        <v>0</v>
      </c>
      <c r="N51" s="615"/>
      <c r="O51" s="616"/>
      <c r="P51" s="617"/>
      <c r="T51" s="278" t="s">
        <v>398</v>
      </c>
      <c r="U51" s="119">
        <f>SUMPRODUCT(($U$14:$U$44)*(ISNUMBER(FIND("Ft",$A$14:$A$44))))+SUMPRODUCT((($U$14:$U$44)*1)*(WEEKDAY($B$14:$B$44,2)=7))-SUMPRODUCT((($U$14:$U$44)*1)*(WEEKDAY($B$14:$B$44,2)=7)*(ISNUMBER(FIND("Ft",$A$14:$A$44))))</f>
        <v>0</v>
      </c>
      <c r="V51" s="119">
        <f>SUMPRODUCT(($V$14:$V$44)*(ISNUMBER(FIND("Ft",$A$14:$A$44))))+SUMPRODUCT((($V$14:$V$44)*1)*(WEEKDAY($B$14:$B$44,2)=7))-SUMPRODUCT((($V$14:$V$44)*1)*(WEEKDAY($B$14:$B$44,2)=7)*(ISNUMBER(FIND("Ft",$A$14:$A$44))))</f>
        <v>0</v>
      </c>
      <c r="W51" s="119">
        <f>SUM($W$14:$W$44)</f>
        <v>0</v>
      </c>
      <c r="X51" s="255"/>
      <c r="Y51" s="256"/>
      <c r="Z51" s="278" t="s">
        <v>398</v>
      </c>
      <c r="AA51" s="214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14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14">
        <f>SUM($AC$14:$AC$44)</f>
        <v>0</v>
      </c>
      <c r="AD51" s="214">
        <f>SUM($AD$14:$AD$44)</f>
        <v>0</v>
      </c>
      <c r="AE51" s="217"/>
      <c r="AF51" s="188"/>
      <c r="AG51" s="278" t="s">
        <v>398</v>
      </c>
      <c r="AH51" s="214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1:34" s="89" customFormat="1" ht="13" customHeight="1">
      <c r="A52" s="227"/>
      <c r="B52" s="355">
        <f>COUNTIF($D$14:$E$44,"ZA")-COUNTIFS($D$14:$D$44,"ZA",$E$14:$E$44,"K")-COUNTIFS($D$14:$D$44,"ZA",$E$14:$E$44,"PK")</f>
        <v>0</v>
      </c>
      <c r="C52" s="454" t="s">
        <v>21</v>
      </c>
      <c r="D52" s="457">
        <f>SUMIFS($P$14:$P$44,$D$14:$D$44,"ZA")+SUMIFS($P$14:$P$44,$E$14:$E$44,"ZA")-$J$45</f>
        <v>0</v>
      </c>
      <c r="E52" s="458">
        <f>IF($P$48="Freizeit",SUM($N$45*1.5,$O$45*2),0)+$J$54*1.5</f>
        <v>0</v>
      </c>
      <c r="F52" s="272"/>
      <c r="G52" s="323" t="str">
        <f>"9545 Nachtdienstpauschale Gesamt ("&amp;""&amp;Gehalt!$E$25&amp;""&amp;"€/h)"</f>
        <v>9545 Nachtdienstpauschale Gesamt (29,44€/h)</v>
      </c>
      <c r="H52" s="151"/>
      <c r="I52" s="151"/>
      <c r="J52" s="151"/>
      <c r="K52" s="264">
        <f>SUM($AF$14:$AG$44)</f>
        <v>0</v>
      </c>
      <c r="L52" s="226">
        <f>$K$52*Gehalt!$E$25</f>
        <v>0</v>
      </c>
      <c r="N52" s="540" t="s">
        <v>237</v>
      </c>
      <c r="O52" s="541"/>
      <c r="P52" s="352">
        <f>VLOOKUP($B$8,Datenblatt!$A$100:$I$112,2,FALSE)</f>
        <v>31</v>
      </c>
      <c r="T52" s="279" t="s">
        <v>104</v>
      </c>
      <c r="U52" s="269">
        <f>SUM($U$14:$U$44)-$U$51</f>
        <v>0</v>
      </c>
      <c r="V52" s="269">
        <f>SUM($V$14:$V$44)-$V$51</f>
        <v>0</v>
      </c>
      <c r="W52" s="257"/>
      <c r="X52" s="265"/>
      <c r="Y52" s="256"/>
      <c r="Z52" s="280" t="s">
        <v>104</v>
      </c>
      <c r="AA52" s="214">
        <f>SUM($AA$14:$AA$44)-$AA$51</f>
        <v>0</v>
      </c>
      <c r="AB52" s="214">
        <f>SUM($AB$14:$AB$44)-$AB$51</f>
        <v>0</v>
      </c>
      <c r="AC52" s="260"/>
      <c r="AD52" s="261"/>
      <c r="AE52" s="217"/>
      <c r="AF52" s="188"/>
      <c r="AG52" s="280" t="s">
        <v>104</v>
      </c>
      <c r="AH52" s="214">
        <f>SUM($AH$14:$AH$44)-$AH$51</f>
        <v>0</v>
      </c>
    </row>
    <row r="53" spans="1:34" s="89" customFormat="1" ht="13" customHeight="1">
      <c r="A53" s="227"/>
      <c r="B53" s="355">
        <f>COUNTIF($D$14:$E$44,"RG")-COUNTIFS($D$14:$D$44,"U",$E$14:$E$44,"RG")-COUNTIFS($D$14:$D$44,"RG",$E$14:$E$44,"PK")</f>
        <v>0</v>
      </c>
      <c r="C53" s="359" t="s">
        <v>132</v>
      </c>
      <c r="D53" s="455">
        <f>SUMIFS($P$14:$P$44,$D$14:$D$44,"RG")+SUMIFS($P$14:$P$44,$E$14:$E$44,"RG")</f>
        <v>0</v>
      </c>
      <c r="E53" s="459">
        <f>$Q$47</f>
        <v>0</v>
      </c>
      <c r="G53" s="323" t="str">
        <f>"9547 Sonn- und Feiertagszulage ("&amp;""&amp;Gehalt!$E$26&amp;""&amp;"€/h)"</f>
        <v>9547 Sonn- und Feiertagszulage (18,5€/h)</v>
      </c>
      <c r="H53" s="151"/>
      <c r="I53" s="151"/>
      <c r="J53" s="151"/>
      <c r="K53" s="22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26">
        <f>$K$53*Gehalt!$E$26</f>
        <v>0</v>
      </c>
      <c r="N53" s="540" t="s">
        <v>238</v>
      </c>
      <c r="O53" s="541"/>
      <c r="P53" s="352">
        <f>VLOOKUP($B$8,Datenblatt!$A$100:$I$112,3,FALSE)</f>
        <v>1</v>
      </c>
      <c r="T53" s="277" t="s">
        <v>399</v>
      </c>
      <c r="U53" s="112">
        <f>SUMPRODUCT(($U$14:$U$44)*(ISNUMBER(FIND("Ft",$A$14:$A$44))))+SUMPRODUCT((($U$14:$U$44)*1)*(WEEKDAY($B$14:$B$44,2)=7))-SUMPRODUCT((($U$14:$U$44)*1)*(WEEKDAY($B$14:$B$44,2)=7)*(ISNUMBER(FIND("Ft",$A$14:$A$44))))</f>
        <v>0</v>
      </c>
      <c r="V53" s="112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270"/>
      <c r="X53" s="112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12">
        <f>SUMPRODUCT(($Y$14:$Y$44)*(ISNUMBER(FIND("Ft",$A$14:$A$44))))+SUMPRODUCT((($Y$14:$Y$44)*1)*(WEEKDAY($B$14:$B$44,2)=7))-SUMPRODUCT((($Y$14:$Y$44)*1)*(WEEKDAY($B$14:$B$44,2)=7)*(ISNUMBER(FIND("Ft",$A$14:$A$44))))</f>
        <v>0</v>
      </c>
      <c r="Z53" s="258"/>
      <c r="AA53" s="258"/>
      <c r="AB53" s="258"/>
      <c r="AC53" s="259"/>
      <c r="AD53" s="259"/>
      <c r="AE53" s="188"/>
      <c r="AF53" s="188"/>
      <c r="AG53" s="188"/>
      <c r="AH53" s="302"/>
    </row>
    <row r="54" spans="1:34" s="89" customFormat="1" ht="13" customHeight="1">
      <c r="A54" s="227"/>
      <c r="B54" s="355">
        <f>COUNTIF($D$14:$E$44,"NDG")-COUNTIFS($D$14:$D$44,"NDG",$E$14:$E$44,"K")-COUNTIFS($D$14:$D$44,"NDG",$E$14:$E$44,"PK")</f>
        <v>0</v>
      </c>
      <c r="C54" s="359" t="s">
        <v>131</v>
      </c>
      <c r="D54" s="455">
        <f>SUMIFS($P$14:$P$44,$D$14:$D$44,"NDG")+SUMIFS($P$14:$P$44,$E$14:$E$44,"NDG")</f>
        <v>0</v>
      </c>
      <c r="E54" s="459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609" t="s">
        <v>295</v>
      </c>
      <c r="H54" s="610"/>
      <c r="I54" s="611"/>
      <c r="J54" s="390">
        <v>0</v>
      </c>
      <c r="K54" s="225">
        <f>IF($P$48="finanziell",SUM($L$62),0)+$L$66+$L$70-$J$54</f>
        <v>0</v>
      </c>
      <c r="L54" s="226">
        <f>$K$54*$L$60</f>
        <v>0</v>
      </c>
      <c r="M54" s="56"/>
      <c r="N54" s="540" t="s">
        <v>239</v>
      </c>
      <c r="O54" s="541"/>
      <c r="P54" s="352">
        <f>VLOOKUP($B$8,Datenblatt!$A$100:$I$112,4,FALSE)</f>
        <v>10</v>
      </c>
      <c r="Q54" s="56"/>
      <c r="T54" s="242"/>
      <c r="U54" s="242"/>
      <c r="V54" s="242"/>
      <c r="W54" s="188"/>
      <c r="X54" s="188"/>
      <c r="Y54" s="188"/>
      <c r="Z54" s="242"/>
      <c r="AA54" s="242"/>
      <c r="AB54" s="242"/>
      <c r="AC54" s="188"/>
      <c r="AD54" s="188"/>
      <c r="AE54" s="188"/>
      <c r="AF54" s="188"/>
      <c r="AG54" s="188"/>
      <c r="AH54" s="302"/>
    </row>
    <row r="55" spans="1:34" s="89" customFormat="1" ht="13" customHeight="1">
      <c r="A55" s="227"/>
      <c r="B55" s="460"/>
      <c r="C55" s="359" t="s">
        <v>170</v>
      </c>
      <c r="D55" s="455">
        <f>SUMIFS($M$14:$M$44,$D$14:$D$44,"U")</f>
        <v>0</v>
      </c>
      <c r="E55" s="456"/>
      <c r="G55" s="323" t="s">
        <v>227</v>
      </c>
      <c r="H55" s="151"/>
      <c r="I55" s="151"/>
      <c r="J55" s="151"/>
      <c r="K55" s="225">
        <f>IF($P$48="finanziell",SUM($L$63),0)+$L$71+$L$67</f>
        <v>0</v>
      </c>
      <c r="L55" s="226">
        <f>$K$55*$L$61</f>
        <v>0</v>
      </c>
      <c r="M55" s="59"/>
      <c r="N55" s="540" t="s">
        <v>240</v>
      </c>
      <c r="O55" s="541"/>
      <c r="P55" s="352">
        <f>VLOOKUP($B$8,Datenblatt!$A$100:$I$112,5,FALSE)</f>
        <v>21</v>
      </c>
      <c r="T55" s="242"/>
      <c r="U55" s="242"/>
      <c r="V55" s="242"/>
      <c r="W55" s="188"/>
      <c r="X55" s="188"/>
      <c r="Y55" s="188"/>
      <c r="Z55" s="242"/>
      <c r="AA55" s="242"/>
      <c r="AB55" s="242"/>
      <c r="AC55" s="188"/>
      <c r="AD55" s="188"/>
      <c r="AE55" s="188"/>
      <c r="AF55" s="188"/>
      <c r="AG55" s="188"/>
      <c r="AH55" s="302"/>
    </row>
    <row r="56" spans="1:34" s="89" customFormat="1" ht="13" customHeight="1">
      <c r="A56" s="227"/>
      <c r="B56" s="355">
        <f>COUNTIF($D$14:$E$44,"SU")-COUNTIFS($D$14:$D$44,"SU",$E$14:$E$44,"K")-COUNTIFS($D$14:$D$44,"SU",$E$14:$E$44,"PK")</f>
        <v>0</v>
      </c>
      <c r="C56" s="359" t="s">
        <v>172</v>
      </c>
      <c r="D56" s="455">
        <f>SUMIFS($M$14:$M$44,$D$14:$D$44,"SU")</f>
        <v>0</v>
      </c>
      <c r="E56" s="456"/>
      <c r="G56" s="323" t="s">
        <v>285</v>
      </c>
      <c r="H56" s="151"/>
      <c r="I56" s="151"/>
      <c r="J56" s="151"/>
      <c r="K56" s="394">
        <f ca="1">IF(Februar!$P$63-SUM(Start!$E$33:$E$35,Start!$E$15:$E$17)*2&lt;=0,0,Februar!$P$63-SUM(Start!$E$33:$E$35,Start!$E$15:$E$17)*2)</f>
        <v>0</v>
      </c>
      <c r="L56" s="226">
        <f ca="1">$K$56*(ROUNDDOWN((($Q$6-35)/173*1),2))</f>
        <v>0</v>
      </c>
      <c r="N56" s="540" t="s">
        <v>241</v>
      </c>
      <c r="O56" s="541"/>
      <c r="P56" s="352">
        <f>VLOOKUP($B$8,Datenblatt!$A$100:$I$112,7,FALSE)</f>
        <v>21</v>
      </c>
      <c r="T56" s="242"/>
      <c r="U56" s="242"/>
      <c r="V56" s="242"/>
      <c r="W56" s="188"/>
      <c r="X56" s="188"/>
      <c r="Y56" s="188"/>
      <c r="Z56" s="242"/>
      <c r="AA56" s="242"/>
      <c r="AB56" s="242"/>
      <c r="AC56" s="188"/>
      <c r="AD56" s="188"/>
      <c r="AE56" s="188"/>
      <c r="AF56" s="188"/>
      <c r="AG56" s="188"/>
      <c r="AH56" s="302"/>
    </row>
    <row r="57" spans="1:34" s="89" customFormat="1" ht="13" customHeight="1">
      <c r="A57" s="227"/>
      <c r="B57" s="355">
        <f>COUNTIF($D$14:$E$44,"PK")</f>
        <v>0</v>
      </c>
      <c r="C57" s="359" t="s">
        <v>171</v>
      </c>
      <c r="D57" s="455">
        <f>SUMIFS($M$14:$M$44,$D$14:$D$44,"PK")</f>
        <v>0</v>
      </c>
      <c r="E57" s="456"/>
      <c r="G57" s="391" t="s">
        <v>297</v>
      </c>
      <c r="H57" s="392"/>
      <c r="I57" s="392"/>
      <c r="J57" s="151"/>
      <c r="K57" s="225">
        <f>IF(OR(Start!$D$8=Gehalt!$K$37,Start!$D$8=Gehalt!$K$39,Start!$D$8=Gehalt!$K$41),SUMIFS($M$14:$M$44,$Q$14:$Q$44,"=Tagdienst*",$E$14:$E$44,"&lt;&gt;*")+SUMIFS($AH$14:$AH$44,$R$14:$R$44,"=Tagdienst*"),0)</f>
        <v>0</v>
      </c>
      <c r="L57" s="226">
        <f>$K$57*Gehalt!$C$28</f>
        <v>0</v>
      </c>
      <c r="N57" s="540" t="s">
        <v>236</v>
      </c>
      <c r="O57" s="541"/>
      <c r="P57" s="352">
        <f>VLOOKUP($B$8,Datenblatt!$A$100:$I$112,6,FALSE)</f>
        <v>168</v>
      </c>
      <c r="T57" s="242"/>
      <c r="U57" s="242"/>
      <c r="V57" s="242"/>
      <c r="W57" s="188"/>
      <c r="X57" s="188"/>
      <c r="Y57" s="188"/>
      <c r="Z57" s="242"/>
      <c r="AA57" s="242"/>
      <c r="AB57" s="242"/>
      <c r="AC57" s="188"/>
      <c r="AD57" s="188"/>
      <c r="AE57" s="188"/>
      <c r="AF57" s="188"/>
      <c r="AG57" s="188"/>
      <c r="AH57" s="302"/>
    </row>
    <row r="58" spans="1:34" s="89" customFormat="1" ht="13" customHeight="1">
      <c r="A58" s="227"/>
      <c r="B58" s="355">
        <f>COUNTIF($D$14:$E$44,"K")+COUNTIF($D$14:$E$44,"KA")</f>
        <v>0</v>
      </c>
      <c r="C58" s="359" t="s">
        <v>418</v>
      </c>
      <c r="D58" s="455">
        <f>SUMIFS($M$14:$M$44,$D$14:$D$44,"K")+SUMIFS($M$14:$M$44,$D$14:$D$44,"KA")</f>
        <v>0</v>
      </c>
      <c r="E58" s="456"/>
      <c r="G58" s="323" t="s">
        <v>296</v>
      </c>
      <c r="H58" s="151"/>
      <c r="I58" s="151"/>
      <c r="J58" s="393" t="s">
        <v>146</v>
      </c>
      <c r="K58" s="225"/>
      <c r="L58" s="226">
        <f>IF($J$58="ja",Gehalt!$C$27,0)</f>
        <v>0</v>
      </c>
      <c r="N58" s="618" t="str">
        <f>"Stundenkonto Monatsende"&amp;" "&amp;Start!$B$17</f>
        <v>Stundenkonto Monatsende März</v>
      </c>
      <c r="O58" s="619"/>
      <c r="P58" s="620"/>
      <c r="T58" s="242"/>
      <c r="U58" s="242"/>
      <c r="V58" s="242"/>
      <c r="W58" s="188"/>
      <c r="X58" s="188"/>
      <c r="Y58" s="188"/>
      <c r="Z58" s="242"/>
      <c r="AA58" s="242"/>
      <c r="AB58" s="242"/>
      <c r="AC58" s="188"/>
      <c r="AD58" s="188"/>
      <c r="AE58" s="188"/>
      <c r="AF58" s="188"/>
      <c r="AG58" s="188"/>
      <c r="AH58" s="302"/>
    </row>
    <row r="59" spans="1:34" s="89" customFormat="1" ht="13" customHeight="1" thickBot="1">
      <c r="A59" s="227"/>
      <c r="B59" s="460"/>
      <c r="C59" s="359" t="s">
        <v>19</v>
      </c>
      <c r="D59" s="455">
        <f>COUNTIF($L$14:$L$44,"n.b.")</f>
        <v>0</v>
      </c>
      <c r="E59" s="456"/>
      <c r="G59" s="229" t="s">
        <v>362</v>
      </c>
      <c r="H59" s="230"/>
      <c r="I59" s="230"/>
      <c r="J59" s="230"/>
      <c r="K59" s="338"/>
      <c r="L59" s="228">
        <f ca="1">SUM(L52:L57)*12%</f>
        <v>0</v>
      </c>
      <c r="N59" s="615"/>
      <c r="O59" s="616"/>
      <c r="P59" s="617"/>
      <c r="T59" s="242"/>
      <c r="U59" s="188"/>
      <c r="V59" s="188"/>
      <c r="W59" s="188"/>
      <c r="X59" s="188"/>
      <c r="Y59" s="188"/>
      <c r="Z59" s="242"/>
      <c r="AA59" s="188"/>
      <c r="AB59" s="188"/>
      <c r="AC59" s="188"/>
      <c r="AD59" s="188"/>
      <c r="AE59" s="188"/>
      <c r="AF59" s="188"/>
      <c r="AG59" s="188"/>
      <c r="AH59" s="302"/>
    </row>
    <row r="60" spans="1:34" s="89" customFormat="1" ht="13" customHeight="1">
      <c r="A60" s="227"/>
      <c r="B60" s="355">
        <f>COUNTIF($D$14:$E$44,"DV")</f>
        <v>0</v>
      </c>
      <c r="C60" s="359" t="s">
        <v>111</v>
      </c>
      <c r="D60" s="455">
        <f>SUMIFS($P$14:$P$44,$D$14:$D$44,"DV")+SUMIFS($P$14:$P$44,$E$14:$E$44,"DV")</f>
        <v>0</v>
      </c>
      <c r="E60" s="456"/>
      <c r="G60" s="238" t="s">
        <v>298</v>
      </c>
      <c r="H60" s="239"/>
      <c r="I60" s="240"/>
      <c r="J60" s="240"/>
      <c r="K60" s="240"/>
      <c r="L60" s="241">
        <f>IF($Q$6="",0,ROUNDDOWN((($Q$6-35)/173*1.5),2))</f>
        <v>46.21</v>
      </c>
      <c r="N60" s="540" t="s">
        <v>234</v>
      </c>
      <c r="O60" s="541"/>
      <c r="P60" s="352">
        <f>Start!$C$30+SUM(Jänner:März!$D$51)</f>
        <v>0</v>
      </c>
      <c r="T60" s="244"/>
      <c r="U60" s="188"/>
      <c r="V60" s="188"/>
      <c r="W60" s="188"/>
      <c r="X60" s="188"/>
      <c r="Y60" s="188"/>
      <c r="Z60" s="244"/>
      <c r="AA60" s="188"/>
      <c r="AB60" s="188"/>
      <c r="AC60" s="188"/>
      <c r="AD60" s="188"/>
      <c r="AE60" s="188"/>
      <c r="AF60" s="188"/>
      <c r="AG60" s="188"/>
      <c r="AH60" s="302"/>
    </row>
    <row r="61" spans="1:34" s="89" customFormat="1" ht="13" customHeight="1">
      <c r="A61" s="227"/>
      <c r="B61" s="355">
        <f>COUNTIF($D$14:$E$44,"WR")</f>
        <v>0</v>
      </c>
      <c r="C61" s="359" t="s">
        <v>126</v>
      </c>
      <c r="D61" s="466"/>
      <c r="E61" s="456"/>
      <c r="G61" s="360" t="s">
        <v>400</v>
      </c>
      <c r="H61" s="358"/>
      <c r="I61" s="357"/>
      <c r="J61" s="357"/>
      <c r="K61" s="357"/>
      <c r="L61" s="356">
        <f>IF($Q$6="",0,ROUNDDOWN((($Q$6-35)/173*2),2))</f>
        <v>61.62</v>
      </c>
      <c r="N61" s="540" t="s">
        <v>235</v>
      </c>
      <c r="O61" s="541"/>
      <c r="P61" s="353">
        <f>Start!$C$31+SUM(Jänner:März!$D$52)+SUM(Jänner:März!$E$52)</f>
        <v>0</v>
      </c>
      <c r="T61" s="244"/>
      <c r="U61" s="188"/>
      <c r="V61" s="188"/>
      <c r="W61" s="188"/>
      <c r="X61" s="188"/>
      <c r="Y61" s="188"/>
      <c r="Z61" s="244"/>
      <c r="AA61" s="188"/>
      <c r="AB61" s="188"/>
      <c r="AC61" s="188"/>
      <c r="AD61" s="188"/>
      <c r="AE61" s="188"/>
      <c r="AF61" s="188"/>
      <c r="AG61" s="188"/>
      <c r="AH61" s="302"/>
    </row>
    <row r="62" spans="1:34" s="59" customFormat="1" ht="13" customHeight="1">
      <c r="A62" s="471"/>
      <c r="B62" s="478"/>
      <c r="C62" s="478"/>
      <c r="D62" s="478"/>
      <c r="E62" s="478"/>
      <c r="G62" s="374" t="s">
        <v>392</v>
      </c>
      <c r="H62" s="375"/>
      <c r="I62" s="125"/>
      <c r="J62" s="125"/>
      <c r="K62" s="125"/>
      <c r="L62" s="376">
        <f>SUM($N$14:$N$44)</f>
        <v>0</v>
      </c>
      <c r="M62" s="89"/>
      <c r="N62" s="540" t="s">
        <v>148</v>
      </c>
      <c r="O62" s="541"/>
      <c r="P62" s="352">
        <f>Start!$C$32+SUM(Jänner:März!$D$53)+SUM(Jänner:März!$E$53)</f>
        <v>0</v>
      </c>
      <c r="Q62" s="89"/>
      <c r="T62" s="244"/>
      <c r="U62" s="242"/>
      <c r="V62" s="242"/>
      <c r="W62" s="242"/>
      <c r="X62" s="242"/>
      <c r="Y62" s="242"/>
      <c r="Z62" s="244"/>
      <c r="AA62" s="242"/>
      <c r="AB62" s="242"/>
      <c r="AC62" s="242"/>
      <c r="AD62" s="242"/>
      <c r="AE62" s="242"/>
      <c r="AF62" s="242"/>
      <c r="AG62" s="242"/>
      <c r="AH62" s="302"/>
    </row>
    <row r="63" spans="1:34" s="59" customFormat="1" ht="13" customHeight="1">
      <c r="A63" s="471"/>
      <c r="G63" s="374" t="s">
        <v>102</v>
      </c>
      <c r="H63" s="375"/>
      <c r="I63" s="125"/>
      <c r="J63" s="125"/>
      <c r="K63" s="125"/>
      <c r="L63" s="376">
        <f>SUM($O$14:$O$44)</f>
        <v>0</v>
      </c>
      <c r="M63" s="89"/>
      <c r="N63" s="544" t="s">
        <v>166</v>
      </c>
      <c r="O63" s="545"/>
      <c r="P63" s="354">
        <f ca="1">Start!$C$33+SUM(Jänner:März!$D$54)+SUM(Jänner:März!$E$54)-SUM(Jänner:März!$K$56)</f>
        <v>0</v>
      </c>
      <c r="Q63" s="89"/>
      <c r="T63" s="244"/>
      <c r="U63" s="242"/>
      <c r="V63" s="242"/>
      <c r="W63" s="242"/>
      <c r="X63" s="242"/>
      <c r="Y63" s="242"/>
      <c r="Z63" s="244"/>
      <c r="AA63" s="242"/>
      <c r="AB63" s="242"/>
      <c r="AC63" s="242"/>
      <c r="AD63" s="242"/>
      <c r="AE63" s="242"/>
      <c r="AF63" s="242"/>
      <c r="AG63" s="242"/>
      <c r="AH63" s="302"/>
    </row>
    <row r="64" spans="1:34" s="59" customFormat="1" ht="13" customHeight="1">
      <c r="A64" s="471"/>
      <c r="E64" s="140"/>
      <c r="G64" s="374" t="s">
        <v>98</v>
      </c>
      <c r="H64" s="375"/>
      <c r="I64" s="125"/>
      <c r="J64" s="125"/>
      <c r="K64" s="125"/>
      <c r="L64" s="377">
        <f>$L$62*$L$60</f>
        <v>0</v>
      </c>
      <c r="M64" s="89"/>
      <c r="N64" s="546" t="str">
        <f>"Bisheriger Verbrauch"&amp;" "&amp;Start!$D$2</f>
        <v>Bisheriger Verbrauch 2024</v>
      </c>
      <c r="O64" s="547"/>
      <c r="P64" s="548"/>
      <c r="Q64" s="89"/>
      <c r="T64" s="244"/>
      <c r="U64" s="242"/>
      <c r="V64" s="242"/>
      <c r="W64" s="242"/>
      <c r="X64" s="242"/>
      <c r="Y64" s="242"/>
      <c r="Z64" s="244"/>
      <c r="AA64" s="242"/>
      <c r="AB64" s="242"/>
      <c r="AC64" s="242"/>
      <c r="AD64" s="242"/>
      <c r="AE64" s="242"/>
      <c r="AF64" s="242"/>
      <c r="AG64" s="242"/>
      <c r="AH64" s="302"/>
    </row>
    <row r="65" spans="1:34" s="59" customFormat="1" ht="13" customHeight="1">
      <c r="A65" s="471"/>
      <c r="E65" s="140"/>
      <c r="G65" s="267" t="s">
        <v>99</v>
      </c>
      <c r="H65" s="268"/>
      <c r="I65" s="378"/>
      <c r="J65" s="378"/>
      <c r="K65" s="378"/>
      <c r="L65" s="379">
        <f>$L$63*$L$61</f>
        <v>0</v>
      </c>
      <c r="M65" s="89"/>
      <c r="N65" s="549"/>
      <c r="O65" s="550"/>
      <c r="P65" s="551"/>
      <c r="Q65" s="89"/>
      <c r="T65" s="244"/>
      <c r="U65" s="242"/>
      <c r="V65" s="242"/>
      <c r="W65" s="242"/>
      <c r="X65" s="242"/>
      <c r="Y65" s="242"/>
      <c r="Z65" s="244"/>
      <c r="AA65" s="242"/>
      <c r="AB65" s="242"/>
      <c r="AC65" s="242"/>
      <c r="AD65" s="242"/>
      <c r="AE65" s="242"/>
      <c r="AF65" s="242"/>
      <c r="AG65" s="242"/>
      <c r="AH65" s="302"/>
    </row>
    <row r="66" spans="1:34" s="59" customFormat="1" ht="13" customHeight="1">
      <c r="A66" s="471"/>
      <c r="E66" s="140"/>
      <c r="G66" s="380" t="s">
        <v>228</v>
      </c>
      <c r="H66" s="381"/>
      <c r="I66" s="382"/>
      <c r="J66" s="382"/>
      <c r="K66" s="382"/>
      <c r="L66" s="376">
        <f>SUM($U$52:$V$52)+$AH$52</f>
        <v>0</v>
      </c>
      <c r="N66" s="533" t="s">
        <v>234</v>
      </c>
      <c r="O66" s="534"/>
      <c r="P66" s="398">
        <f>SUM(Jänner:März!$D$51)</f>
        <v>0</v>
      </c>
      <c r="T66" s="244"/>
      <c r="U66" s="242"/>
      <c r="V66" s="242"/>
      <c r="W66" s="242"/>
      <c r="X66" s="242"/>
      <c r="Y66" s="242"/>
      <c r="Z66" s="244"/>
      <c r="AA66" s="242"/>
      <c r="AB66" s="242"/>
      <c r="AC66" s="242"/>
      <c r="AD66" s="242"/>
      <c r="AE66" s="242"/>
      <c r="AF66" s="242"/>
      <c r="AG66" s="242"/>
      <c r="AH66" s="302"/>
    </row>
    <row r="67" spans="1:34" s="59" customFormat="1" ht="13" customHeight="1">
      <c r="A67" s="471"/>
      <c r="D67" s="140"/>
      <c r="E67" s="140"/>
      <c r="G67" s="380" t="s">
        <v>103</v>
      </c>
      <c r="H67" s="381"/>
      <c r="I67" s="382"/>
      <c r="J67" s="382"/>
      <c r="K67" s="382"/>
      <c r="L67" s="376">
        <f>SUM($U$51:$W$51)+$AH$51</f>
        <v>0</v>
      </c>
      <c r="N67" s="533" t="s">
        <v>235</v>
      </c>
      <c r="O67" s="534"/>
      <c r="P67" s="398">
        <f>SUM(Jänner:März!$D$52)</f>
        <v>0</v>
      </c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42"/>
      <c r="AG67" s="242"/>
      <c r="AH67" s="302"/>
    </row>
    <row r="68" spans="1:34" s="59" customFormat="1" ht="13" customHeight="1">
      <c r="A68" s="471"/>
      <c r="D68" s="140"/>
      <c r="E68" s="140"/>
      <c r="G68" s="121" t="s">
        <v>100</v>
      </c>
      <c r="H68" s="122"/>
      <c r="I68" s="125"/>
      <c r="J68" s="125"/>
      <c r="K68" s="125"/>
      <c r="L68" s="377">
        <f>$L$66*$L$60</f>
        <v>0</v>
      </c>
      <c r="N68" s="533" t="s">
        <v>148</v>
      </c>
      <c r="O68" s="534"/>
      <c r="P68" s="398">
        <f>SUM(Jänner:März!$D$53)</f>
        <v>0</v>
      </c>
      <c r="T68" s="242"/>
      <c r="U68" s="242"/>
      <c r="V68" s="242"/>
      <c r="W68" s="242"/>
      <c r="X68" s="242"/>
      <c r="Y68" s="242"/>
      <c r="Z68" s="242"/>
      <c r="AA68" s="242"/>
      <c r="AB68" s="242"/>
      <c r="AC68" s="242"/>
      <c r="AD68" s="242"/>
      <c r="AE68" s="242"/>
      <c r="AF68" s="242"/>
      <c r="AG68" s="242"/>
      <c r="AH68" s="302"/>
    </row>
    <row r="69" spans="1:34" s="59" customFormat="1" ht="13" customHeight="1">
      <c r="A69" s="471"/>
      <c r="D69" s="140"/>
      <c r="E69" s="140"/>
      <c r="G69" s="383" t="s">
        <v>101</v>
      </c>
      <c r="H69" s="384"/>
      <c r="I69" s="378"/>
      <c r="J69" s="378"/>
      <c r="K69" s="378"/>
      <c r="L69" s="379">
        <f>$L$67*$L$61</f>
        <v>0</v>
      </c>
      <c r="N69" s="621" t="s">
        <v>166</v>
      </c>
      <c r="O69" s="622"/>
      <c r="P69" s="399">
        <f>SUM(Jänner:März!$D$54)</f>
        <v>0</v>
      </c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302"/>
    </row>
    <row r="70" spans="1:34" s="59" customFormat="1" ht="13" customHeight="1">
      <c r="A70" s="471"/>
      <c r="D70" s="140"/>
      <c r="E70" s="140"/>
      <c r="G70" s="374" t="s">
        <v>393</v>
      </c>
      <c r="H70" s="375"/>
      <c r="I70" s="125"/>
      <c r="J70" s="125"/>
      <c r="K70" s="125"/>
      <c r="L70" s="376">
        <f>SUM($AA$52:$AB$52)</f>
        <v>0</v>
      </c>
      <c r="N70" s="604" t="s">
        <v>389</v>
      </c>
      <c r="O70" s="605"/>
      <c r="P70" s="451">
        <f>SUM(Jänner:März!$B$56)</f>
        <v>0</v>
      </c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302"/>
    </row>
    <row r="71" spans="1:34" s="59" customFormat="1" ht="13" customHeight="1">
      <c r="A71" s="471"/>
      <c r="D71" s="140"/>
      <c r="E71" s="140"/>
      <c r="G71" s="374" t="s">
        <v>356</v>
      </c>
      <c r="H71" s="375"/>
      <c r="I71" s="125"/>
      <c r="J71" s="125"/>
      <c r="K71" s="125"/>
      <c r="L71" s="376">
        <f>SUM($AA$51:$AD$51)</f>
        <v>0</v>
      </c>
      <c r="N71" s="533" t="s">
        <v>390</v>
      </c>
      <c r="O71" s="534"/>
      <c r="P71" s="398">
        <f>SUM(Jänner:März!$B$57)</f>
        <v>0</v>
      </c>
      <c r="T71" s="242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302"/>
    </row>
    <row r="72" spans="1:34" s="59" customFormat="1" ht="13" customHeight="1">
      <c r="A72" s="471"/>
      <c r="D72" s="140"/>
      <c r="E72" s="140"/>
      <c r="G72" s="374" t="s">
        <v>98</v>
      </c>
      <c r="H72" s="375"/>
      <c r="I72" s="125"/>
      <c r="J72" s="125"/>
      <c r="K72" s="125"/>
      <c r="L72" s="377">
        <f>$L$70*$L$60</f>
        <v>0</v>
      </c>
      <c r="N72" s="606" t="s">
        <v>388</v>
      </c>
      <c r="O72" s="607"/>
      <c r="P72" s="450">
        <f>SUM(Jänner:März!$B$58)</f>
        <v>0</v>
      </c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302"/>
    </row>
    <row r="73" spans="1:34" s="59" customFormat="1" ht="13" customHeight="1">
      <c r="A73" s="471"/>
      <c r="D73" s="140"/>
      <c r="E73" s="315"/>
      <c r="G73" s="267" t="s">
        <v>99</v>
      </c>
      <c r="H73" s="268"/>
      <c r="I73" s="378"/>
      <c r="J73" s="378"/>
      <c r="K73" s="378"/>
      <c r="L73" s="379">
        <f>$L$71*$L$61</f>
        <v>0</v>
      </c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302"/>
    </row>
    <row r="74" spans="1:34" s="59" customFormat="1" ht="13" customHeight="1">
      <c r="A74" s="471"/>
      <c r="D74" s="140"/>
      <c r="G74" s="385" t="s">
        <v>288</v>
      </c>
      <c r="H74" s="386"/>
      <c r="I74" s="161"/>
      <c r="J74" s="161"/>
      <c r="K74" s="161"/>
      <c r="L74" s="387">
        <f>VLOOKUP($B$8,Datenblatt!$A$100:$F$112,6,FALSE)-SUM($D$55:$D$58)</f>
        <v>168</v>
      </c>
      <c r="T74" s="242"/>
      <c r="U74" s="242"/>
      <c r="V74" s="242"/>
      <c r="W74" s="242"/>
      <c r="X74" s="242"/>
      <c r="Y74" s="242"/>
      <c r="Z74" s="242"/>
      <c r="AA74" s="242"/>
      <c r="AB74" s="242"/>
      <c r="AC74" s="242"/>
      <c r="AD74" s="242"/>
      <c r="AE74" s="242"/>
      <c r="AF74" s="242"/>
      <c r="AG74" s="242"/>
      <c r="AH74" s="302"/>
    </row>
    <row r="75" spans="1:34" s="59" customFormat="1" ht="13" customHeight="1">
      <c r="A75" s="471"/>
      <c r="D75" s="140"/>
      <c r="T75" s="242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242"/>
      <c r="AF75" s="242"/>
      <c r="AG75" s="242"/>
      <c r="AH75" s="302"/>
    </row>
    <row r="76" spans="1:34" s="59" customFormat="1" ht="13" customHeight="1">
      <c r="A76" s="471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302"/>
    </row>
    <row r="77" spans="1:34" s="59" customFormat="1" ht="13" customHeight="1">
      <c r="A77" s="471"/>
      <c r="C77" s="164" t="s">
        <v>243</v>
      </c>
      <c r="D77" s="165"/>
      <c r="E77" s="166"/>
      <c r="F77" s="166"/>
      <c r="G77" s="166"/>
      <c r="H77" s="167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302"/>
    </row>
    <row r="78" spans="1:34" s="59" customFormat="1" ht="13" customHeight="1">
      <c r="A78" s="471"/>
      <c r="C78" s="121" t="s">
        <v>92</v>
      </c>
      <c r="D78" s="122"/>
      <c r="E78" s="123"/>
      <c r="F78" s="123"/>
      <c r="G78" s="123"/>
      <c r="H78" s="124">
        <f>SUMPRODUCT((WEEKDAY($B$13:$B$43,2)=6)*($D$13:$D$43="ND"))-SUMPRODUCT((WEEKDAY($B$13:$B$43,2)=6)*($D$13:$D$43="ND")*($A$13:$A$43="Ft"))</f>
        <v>0</v>
      </c>
      <c r="R78" s="120"/>
      <c r="S78" s="120"/>
      <c r="T78" s="242"/>
      <c r="U78" s="242"/>
      <c r="V78" s="242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  <c r="AH78" s="302"/>
    </row>
    <row r="79" spans="1:34" s="59" customFormat="1" ht="13" customHeight="1">
      <c r="A79" s="471"/>
      <c r="C79" s="121" t="s">
        <v>93</v>
      </c>
      <c r="D79" s="122"/>
      <c r="E79" s="123"/>
      <c r="F79" s="123"/>
      <c r="G79" s="123"/>
      <c r="H79" s="124">
        <f>SUMPRODUCT((WEEKDAY($B$14:$B$44,2)=7)*($D$14:$D$44="ND"))-SUMPRODUCT((WEEKDAY($B$14:$B$44,2)=7)*($D$14:$D$44="ND")*($A$14:$A$44="Ft"))</f>
        <v>0</v>
      </c>
      <c r="R79" s="120"/>
      <c r="S79" s="120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  <c r="AH79" s="302"/>
    </row>
    <row r="80" spans="1:34" s="59" customFormat="1" ht="13" customHeight="1">
      <c r="A80" s="471"/>
      <c r="C80" s="121" t="s">
        <v>94</v>
      </c>
      <c r="D80" s="122"/>
      <c r="E80" s="123"/>
      <c r="F80" s="123"/>
      <c r="G80" s="123"/>
      <c r="H80" s="124">
        <f>SUMPRODUCT(($D$14:$D$44="ND")*($A$14:$A$44="Ft"))</f>
        <v>0</v>
      </c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42"/>
      <c r="AG80" s="242"/>
      <c r="AH80" s="302"/>
    </row>
    <row r="81" spans="1:34" s="59" customFormat="1" ht="13" customHeight="1">
      <c r="A81" s="471"/>
      <c r="C81" s="121" t="s">
        <v>95</v>
      </c>
      <c r="D81" s="122"/>
      <c r="E81" s="125"/>
      <c r="F81" s="125"/>
      <c r="G81" s="125"/>
      <c r="H81" s="124">
        <f>SUMPRODUCT((WEEKDAY($C$13:$C$43,2)=7)*($D$13:$D$43="ND")*($A$14:$A$44="Ft"))-SUMPRODUCT((WEEKDAY($C$13:$C$43,2)=7)*($D$13:$D$43="ND")*($A$13:$A$43="Ft")*($A$14:$A$44="Ft"))</f>
        <v>0</v>
      </c>
      <c r="T81" s="242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  <c r="AH81" s="302"/>
    </row>
    <row r="82" spans="1:34" s="59" customFormat="1" ht="13" customHeight="1">
      <c r="A82" s="471"/>
      <c r="C82" s="121" t="s">
        <v>96</v>
      </c>
      <c r="D82" s="122"/>
      <c r="E82" s="125"/>
      <c r="F82" s="125"/>
      <c r="G82" s="125"/>
      <c r="H82" s="124">
        <f>SUMPRODUCT(($A$13:$A$43="Ft")*($D$13:$D$43="ND")*($A$14:$A$44="Ft"))</f>
        <v>0</v>
      </c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42"/>
      <c r="AG82" s="242"/>
      <c r="AH82" s="302"/>
    </row>
    <row r="83" spans="1:34" s="59" customFormat="1" ht="13" customHeight="1">
      <c r="A83" s="471"/>
      <c r="C83" s="121" t="s">
        <v>97</v>
      </c>
      <c r="D83" s="122"/>
      <c r="E83" s="125"/>
      <c r="F83" s="122"/>
      <c r="G83" s="122"/>
      <c r="H83" s="124">
        <f>SUMPRODUCT(($A$13:$A$43="Ft")*(WEEKDAY($C$14:$C$44,2)=7)*($D$13:$D$43="ND"))-SUMPRODUCT(($A$13:$A$43="Ft")*($A$14:$A$44="Ft")*(WEEKDAY($C$14:$C$44,2)=7)*($D$13:$D$43="ND"))</f>
        <v>0</v>
      </c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302"/>
    </row>
    <row r="84" spans="1:34" s="59" customFormat="1" ht="13" customHeight="1">
      <c r="A84" s="471"/>
      <c r="C84" s="126" t="s">
        <v>152</v>
      </c>
      <c r="D84" s="127"/>
      <c r="E84" s="161"/>
      <c r="F84" s="127"/>
      <c r="G84" s="127"/>
      <c r="H84" s="199">
        <f>SUMPRODUCT(($A$14:$A$44="Ft")*(WEEKDAY($C$13:$C$43,2)&lt;6)*($D$13:$D$43="ND"))-(SUMPRODUCT(($A$14:$A$44="Ft")*($A$13:$A$43="Ft")*(WEEKDAY($C$13:$C$43,2)&lt;6)*($D$13:$D$43="ND")))</f>
        <v>0</v>
      </c>
      <c r="T84" s="242"/>
      <c r="U84" s="242"/>
      <c r="V84" s="242"/>
      <c r="W84" s="242"/>
      <c r="X84" s="242"/>
      <c r="Y84" s="242"/>
      <c r="Z84" s="242"/>
      <c r="AA84" s="242"/>
      <c r="AB84" s="242"/>
      <c r="AC84" s="242"/>
      <c r="AD84" s="242"/>
      <c r="AE84" s="242"/>
      <c r="AF84" s="242"/>
      <c r="AG84" s="242"/>
      <c r="AH84" s="302"/>
    </row>
    <row r="85" spans="1:34" s="59" customFormat="1" ht="13" customHeight="1">
      <c r="A85" s="471"/>
      <c r="C85" s="164" t="s">
        <v>244</v>
      </c>
      <c r="D85" s="165"/>
      <c r="E85" s="166"/>
      <c r="F85" s="166"/>
      <c r="G85" s="166"/>
      <c r="H85" s="167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242"/>
      <c r="AF85" s="242"/>
      <c r="AG85" s="242"/>
      <c r="AH85" s="302"/>
    </row>
    <row r="86" spans="1:34" s="59" customFormat="1" ht="13" customHeight="1">
      <c r="A86" s="471"/>
      <c r="C86" s="267" t="s">
        <v>401</v>
      </c>
      <c r="D86" s="268"/>
      <c r="E86" s="268"/>
      <c r="F86" s="268"/>
      <c r="G86" s="268"/>
      <c r="H86" s="163"/>
      <c r="T86" s="242"/>
      <c r="U86" s="242"/>
      <c r="V86" s="242"/>
      <c r="W86" s="242"/>
      <c r="X86" s="242"/>
      <c r="Y86" s="242"/>
      <c r="Z86" s="242"/>
      <c r="AA86" s="242"/>
      <c r="AB86" s="242"/>
      <c r="AC86" s="242"/>
      <c r="AD86" s="242"/>
      <c r="AE86" s="242"/>
      <c r="AF86" s="242"/>
      <c r="AG86" s="242"/>
      <c r="AH86" s="302"/>
    </row>
    <row r="87" spans="1:34" s="59" customFormat="1" ht="13" customHeight="1">
      <c r="A87" s="471"/>
      <c r="C87" s="121" t="s">
        <v>16</v>
      </c>
      <c r="D87" s="122"/>
      <c r="E87" s="122"/>
      <c r="F87" s="122"/>
      <c r="G87" s="122"/>
      <c r="H87" s="124">
        <f>SUMPRODUCT((WEEKDAY($B$14:$B$44,2)=7)*($D$14:$D$44="TD"))+SUMPRODUCT(($D$14:$D$44="TD")*($A$14:$A$44="Ft"))-SUMPRODUCT((WEEKDAY($B$14:$B$44,2)=7)*($D$14:$D$44="TD")*($A$14:$A$44="Ft"))</f>
        <v>0</v>
      </c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  <c r="AH87" s="302"/>
    </row>
    <row r="88" spans="1:34" s="59" customFormat="1" ht="13" customHeight="1">
      <c r="A88" s="471"/>
      <c r="C88" s="121" t="s">
        <v>225</v>
      </c>
      <c r="D88" s="122"/>
      <c r="E88" s="122"/>
      <c r="F88" s="122"/>
      <c r="G88" s="122"/>
      <c r="H88" s="124">
        <f>SUMPRODUCT((WEEKDAY($B$14:$B$44,2)=7)*($D$14:$D$44="TD5,5"))+SUMPRODUCT(($D$14:$D$44="TD5,5")*($A$14:$A$44="Ft"))-SUMPRODUCT((WEEKDAY($B$14:$B$44,2)=7)*($D$14:$D$44="TD5,5")*($A$14:$A$44="Ft"))</f>
        <v>0</v>
      </c>
      <c r="T88" s="242"/>
      <c r="U88" s="242"/>
      <c r="V88" s="242"/>
      <c r="W88" s="242"/>
      <c r="X88" s="242"/>
      <c r="Y88" s="242"/>
      <c r="Z88" s="242"/>
      <c r="AA88" s="242"/>
      <c r="AB88" s="242"/>
      <c r="AC88" s="242"/>
      <c r="AD88" s="242"/>
      <c r="AE88" s="242"/>
      <c r="AF88" s="242"/>
      <c r="AG88" s="242"/>
      <c r="AH88" s="302"/>
    </row>
    <row r="89" spans="1:34" s="59" customFormat="1" ht="13" customHeight="1">
      <c r="A89" s="471"/>
      <c r="C89" s="121" t="s">
        <v>88</v>
      </c>
      <c r="D89" s="122"/>
      <c r="E89" s="122"/>
      <c r="F89" s="122"/>
      <c r="G89" s="122"/>
      <c r="H89" s="124">
        <f>SUMPRODUCT((WEEKDAY($B$14:$B$44,2)=7)*($D$14:$D$44="TD6"))+SUMPRODUCT(($D$14:$D$44="TD6")*($A$14:$A$44="Ft"))-SUMPRODUCT((WEEKDAY($B$14:$B$44,2)=7)*($D$14:$D$44="TD6")*($A$14:$A$44="Ft"))</f>
        <v>0</v>
      </c>
      <c r="T89" s="242"/>
      <c r="U89" s="242"/>
      <c r="V89" s="242"/>
      <c r="W89" s="242"/>
      <c r="X89" s="242"/>
      <c r="Y89" s="242"/>
      <c r="Z89" s="242"/>
      <c r="AA89" s="242"/>
      <c r="AB89" s="242"/>
      <c r="AC89" s="242"/>
      <c r="AD89" s="242"/>
      <c r="AE89" s="242"/>
      <c r="AF89" s="242"/>
      <c r="AG89" s="242"/>
      <c r="AH89" s="302"/>
    </row>
    <row r="90" spans="1:34" s="59" customFormat="1" ht="13" customHeight="1">
      <c r="A90" s="471"/>
      <c r="C90" s="121" t="s">
        <v>184</v>
      </c>
      <c r="D90" s="122"/>
      <c r="E90" s="122"/>
      <c r="F90" s="122"/>
      <c r="G90" s="122"/>
      <c r="H90" s="124">
        <f>SUMPRODUCT((WEEKDAY($B$14:$B$44,2)=7)*($D$14:$D$44="TD6,25"))+SUMPRODUCT(($D$14:$D$44="TD6,25")*($A$14:$A$44="Ft"))-SUMPRODUCT((WEEKDAY($B$14:$B$44,2)=7)*($D$14:$D$44="TD6,25")*($A$14:$A$44="Ft"))</f>
        <v>0</v>
      </c>
      <c r="T90" s="242"/>
      <c r="U90" s="242"/>
      <c r="V90" s="242"/>
      <c r="W90" s="242"/>
      <c r="X90" s="242"/>
      <c r="Y90" s="242"/>
      <c r="Z90" s="242"/>
      <c r="AA90" s="242"/>
      <c r="AB90" s="242"/>
      <c r="AC90" s="242"/>
      <c r="AD90" s="242"/>
      <c r="AE90" s="242"/>
      <c r="AF90" s="242"/>
      <c r="AG90" s="242"/>
      <c r="AH90" s="302"/>
    </row>
    <row r="91" spans="1:34" s="59" customFormat="1" ht="13" customHeight="1">
      <c r="A91" s="471"/>
      <c r="C91" s="121" t="s">
        <v>209</v>
      </c>
      <c r="D91" s="122"/>
      <c r="E91" s="122"/>
      <c r="F91" s="122"/>
      <c r="G91" s="122"/>
      <c r="H91" s="124">
        <f>SUMPRODUCT((WEEKDAY($B$14:$B$44,2)=7)*($D$14:$D$44="TD6,5"))+SUMPRODUCT(($D$14:$D$44="TD6,5")*($A$14:$A$44="Ft"))-SUMPRODUCT((WEEKDAY($B$14:$B$44,2)=7)*($D$14:$D$44="TD6,5")*($A$14:$A$44="Ft"))</f>
        <v>0</v>
      </c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302"/>
    </row>
    <row r="92" spans="1:34" s="59" customFormat="1" ht="13" customHeight="1">
      <c r="A92" s="471"/>
      <c r="C92" s="121" t="s">
        <v>86</v>
      </c>
      <c r="D92" s="122"/>
      <c r="E92" s="122"/>
      <c r="F92" s="122"/>
      <c r="G92" s="122"/>
      <c r="H92" s="124">
        <f>SUMPRODUCT((WEEKDAY($B$14:$B$44,2)=7)*($D$14:$D$44="TD7"))+SUMPRODUCT(($D$14:$D$44="TD7")*($A$14:$A$44="Ft"))-SUMPRODUCT((WEEKDAY($B$14:$B$44,2)=7)*($D$14:$D$44="TD7")*($A$14:$A$44="Ft"))</f>
        <v>0</v>
      </c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302"/>
    </row>
    <row r="93" spans="1:34" s="59" customFormat="1" ht="13" customHeight="1">
      <c r="A93" s="471"/>
      <c r="C93" s="121" t="s">
        <v>213</v>
      </c>
      <c r="D93" s="122"/>
      <c r="E93" s="122"/>
      <c r="F93" s="122"/>
      <c r="G93" s="122"/>
      <c r="H93" s="124">
        <f>SUMPRODUCT((WEEKDAY($B$14:$B$44,2)=7)*($D$14:$D$44="TD7,5"))+SUMPRODUCT(($D$14:$D$44="TD7,5")*($A$14:$A$44="Ft"))-SUMPRODUCT((WEEKDAY($B$14:$B$44,2)=7)*($D$14:$D$44="TD7,5")*($A$14:$A$44="Ft"))</f>
        <v>0</v>
      </c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302"/>
    </row>
    <row r="94" spans="1:34" s="59" customFormat="1" ht="13" customHeight="1">
      <c r="A94" s="471"/>
      <c r="C94" s="121" t="s">
        <v>71</v>
      </c>
      <c r="D94" s="122"/>
      <c r="E94" s="122"/>
      <c r="F94" s="122"/>
      <c r="G94" s="122"/>
      <c r="H94" s="124">
        <f>SUMPRODUCT((WEEKDAY($B$14:$B$44,2)=7)*($D$14:$D$44="TD8"))+SUMPRODUCT(($D$14:$D$44="TD8")*($A$14:$A$44="Ft"))-SUMPRODUCT((WEEKDAY($B$14:$B$44,2)=7)*($D$14:$D$44="TD8")*($A$14:$A$44="Ft"))</f>
        <v>0</v>
      </c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42"/>
      <c r="AG94" s="242"/>
      <c r="AH94" s="302"/>
    </row>
    <row r="95" spans="1:34" s="59" customFormat="1" ht="13" customHeight="1">
      <c r="A95" s="471"/>
      <c r="C95" s="121" t="s">
        <v>214</v>
      </c>
      <c r="D95" s="122"/>
      <c r="E95" s="122"/>
      <c r="F95" s="122"/>
      <c r="G95" s="122"/>
      <c r="H95" s="124">
        <f>SUMPRODUCT((WEEKDAY($B$14:$B$44,2)=7)*($D$14:$D$44="TD8,5"))+SUMPRODUCT(($D$14:$D$44="TD8,5")*($A$14:$A$44="Ft"))-SUMPRODUCT((WEEKDAY($B$14:$B$44,2)=7)*($D$14:$D$44="TD8,5")*($A$14:$A$44="Ft"))</f>
        <v>0</v>
      </c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302"/>
    </row>
    <row r="96" spans="1:34" ht="13" customHeight="1">
      <c r="C96" s="121" t="s">
        <v>84</v>
      </c>
      <c r="D96" s="122"/>
      <c r="E96" s="122"/>
      <c r="F96" s="122"/>
      <c r="G96" s="122"/>
      <c r="H96" s="12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21" t="s">
        <v>215</v>
      </c>
      <c r="D97" s="122"/>
      <c r="E97" s="122"/>
      <c r="F97" s="122"/>
      <c r="G97" s="122"/>
      <c r="H97" s="12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21" t="s">
        <v>413</v>
      </c>
      <c r="D98" s="122"/>
      <c r="E98" s="122"/>
      <c r="F98" s="122"/>
      <c r="G98" s="122"/>
      <c r="H98" s="12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21" t="s">
        <v>216</v>
      </c>
      <c r="D99" s="122"/>
      <c r="E99" s="122"/>
      <c r="F99" s="122"/>
      <c r="G99" s="122"/>
      <c r="H99" s="12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21" t="s">
        <v>217</v>
      </c>
      <c r="D100" s="122"/>
      <c r="E100" s="122"/>
      <c r="F100" s="122"/>
      <c r="G100" s="122"/>
      <c r="H100" s="12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21" t="s">
        <v>210</v>
      </c>
      <c r="D101" s="122"/>
      <c r="E101" s="122"/>
      <c r="F101" s="122"/>
      <c r="G101" s="122"/>
      <c r="H101" s="12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21" t="s">
        <v>218</v>
      </c>
      <c r="D102" s="122"/>
      <c r="E102" s="122"/>
      <c r="F102" s="122"/>
      <c r="G102" s="122"/>
      <c r="H102" s="12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21" t="s">
        <v>119</v>
      </c>
      <c r="D103" s="122"/>
      <c r="E103" s="122"/>
      <c r="F103" s="122"/>
      <c r="G103" s="122"/>
      <c r="H103" s="12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62" t="s">
        <v>149</v>
      </c>
      <c r="D104" s="263"/>
      <c r="E104" s="263"/>
      <c r="F104" s="263"/>
      <c r="G104" s="263"/>
      <c r="H104" s="162"/>
    </row>
    <row r="105" spans="3:8" ht="13" customHeight="1">
      <c r="C105" s="121" t="s">
        <v>153</v>
      </c>
      <c r="D105" s="122"/>
      <c r="E105" s="122"/>
      <c r="F105" s="122"/>
      <c r="G105" s="122"/>
      <c r="H105" s="124">
        <f>SUMPRODUCT((WEEKDAY($B$13:$B$43,2)=6)*($D$13:$D$43="ND12,5"))-SUMPRODUCT((WEEKDAY($B$13:$B$43,2)=6)*($D$13:$D$43="ND12,5")*($A$13:$A$43="Ft"))</f>
        <v>0</v>
      </c>
    </row>
    <row r="106" spans="3:8">
      <c r="C106" s="121" t="s">
        <v>150</v>
      </c>
      <c r="D106" s="125"/>
      <c r="E106" s="125"/>
      <c r="F106" s="125"/>
      <c r="G106" s="125"/>
      <c r="H106" s="124">
        <f>SUMPRODUCT((WEEKDAY($B$14:$B$44,2)=7)*($D$14:$D$44="ND12,5"))-SUMPRODUCT((WEEKDAY($B$14:$B$44,2)=7)*($D$14:$D$44="ND12,5")*($A$14:$A$44="Ft"))</f>
        <v>0</v>
      </c>
    </row>
    <row r="107" spans="3:8">
      <c r="C107" s="121" t="s">
        <v>151</v>
      </c>
      <c r="D107" s="125"/>
      <c r="E107" s="125"/>
      <c r="F107" s="125"/>
      <c r="G107" s="125"/>
      <c r="H107" s="124">
        <f>SUMPRODUCT(($D$14:$D$44="ND12,5")*($A$14:$A$44="Ft"))</f>
        <v>0</v>
      </c>
    </row>
    <row r="108" spans="3:8">
      <c r="C108" s="121" t="s">
        <v>155</v>
      </c>
      <c r="D108" s="125"/>
      <c r="E108" s="125"/>
      <c r="F108" s="125"/>
      <c r="G108" s="125"/>
      <c r="H108" s="12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21" t="s">
        <v>156</v>
      </c>
      <c r="D109" s="125"/>
      <c r="E109" s="125"/>
      <c r="F109" s="125"/>
      <c r="G109" s="125"/>
      <c r="H109" s="124">
        <f>SUMPRODUCT(($A$13:$A$43="Ft")*($D$13:$D$43="ND12,5")*($A$14:$A$44="Ft"))</f>
        <v>0</v>
      </c>
    </row>
    <row r="110" spans="3:8">
      <c r="C110" s="121" t="s">
        <v>157</v>
      </c>
      <c r="D110" s="125"/>
      <c r="E110" s="125"/>
      <c r="F110" s="125"/>
      <c r="G110" s="125"/>
      <c r="H110" s="12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26" t="s">
        <v>154</v>
      </c>
      <c r="D111" s="161"/>
      <c r="E111" s="161"/>
      <c r="F111" s="161"/>
      <c r="G111" s="161"/>
      <c r="H111" s="199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3+gI5tkDWSDNjl0gV2px+hkuKxKKMIVCJTVRKzO9FFb4czCmRQtqiDqt6mP0S6RpNoVmMMbEwvVi7Suf8VmtIw==" saltValue="nsGWVaMV3OfBM9LCRuVRjA==" spinCount="100000" sheet="1" selectLockedCells="1"/>
  <mergeCells count="63">
    <mergeCell ref="N70:O70"/>
    <mergeCell ref="N71:O71"/>
    <mergeCell ref="N72:O72"/>
    <mergeCell ref="N62:O62"/>
    <mergeCell ref="N64:P65"/>
    <mergeCell ref="N66:O66"/>
    <mergeCell ref="N68:O68"/>
    <mergeCell ref="N69:O69"/>
    <mergeCell ref="N67:O67"/>
    <mergeCell ref="N63:O63"/>
    <mergeCell ref="B9:C11"/>
    <mergeCell ref="D9:D11"/>
    <mergeCell ref="N58:P59"/>
    <mergeCell ref="N61:O61"/>
    <mergeCell ref="C50:D50"/>
    <mergeCell ref="G54:I54"/>
    <mergeCell ref="N50:P51"/>
    <mergeCell ref="N52:O52"/>
    <mergeCell ref="N53:O53"/>
    <mergeCell ref="N54:O54"/>
    <mergeCell ref="N60:O60"/>
    <mergeCell ref="L47:O47"/>
    <mergeCell ref="E9:E11"/>
    <mergeCell ref="F9:G10"/>
    <mergeCell ref="H9:I10"/>
    <mergeCell ref="J9:J11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K9:K11"/>
    <mergeCell ref="AG10:AG11"/>
    <mergeCell ref="S9:S11"/>
    <mergeCell ref="Q9:Q11"/>
    <mergeCell ref="R9:R11"/>
    <mergeCell ref="L9:L11"/>
    <mergeCell ref="M9:M11"/>
    <mergeCell ref="N9:N11"/>
    <mergeCell ref="O9:O11"/>
    <mergeCell ref="P9:P11"/>
    <mergeCell ref="AF10:AF11"/>
    <mergeCell ref="U10:Y10"/>
    <mergeCell ref="AA10:AE10"/>
    <mergeCell ref="K5:M5"/>
    <mergeCell ref="K6:M6"/>
    <mergeCell ref="N6:P6"/>
    <mergeCell ref="N5:P5"/>
    <mergeCell ref="K8:M8"/>
    <mergeCell ref="N8:P8"/>
    <mergeCell ref="K7:M7"/>
    <mergeCell ref="N7:P7"/>
    <mergeCell ref="L48:O48"/>
    <mergeCell ref="N55:O55"/>
    <mergeCell ref="N56:O56"/>
    <mergeCell ref="N57:O57"/>
    <mergeCell ref="N13:O13"/>
  </mergeCells>
  <conditionalFormatting sqref="A13:A44">
    <cfRule type="cellIs" dxfId="411" priority="8" operator="equal">
      <formula>"HFT"</formula>
    </cfRule>
    <cfRule type="cellIs" dxfId="410" priority="9" operator="equal">
      <formula>"FT"</formula>
    </cfRule>
  </conditionalFormatting>
  <conditionalFormatting sqref="A45">
    <cfRule type="cellIs" dxfId="409" priority="289" operator="equal">
      <formula>"Ft"</formula>
    </cfRule>
  </conditionalFormatting>
  <conditionalFormatting sqref="B13:C44">
    <cfRule type="expression" dxfId="408" priority="290">
      <formula>WEEKDAY($C13,2)&gt;5</formula>
    </cfRule>
  </conditionalFormatting>
  <conditionalFormatting sqref="E8">
    <cfRule type="cellIs" dxfId="406" priority="43" operator="greaterThan">
      <formula>48</formula>
    </cfRule>
  </conditionalFormatting>
  <conditionalFormatting sqref="I47:K47">
    <cfRule type="cellIs" dxfId="405" priority="116" operator="equal">
      <formula>"Wochenarbeitszeit überschritten"</formula>
    </cfRule>
  </conditionalFormatting>
  <conditionalFormatting sqref="J45:P45">
    <cfRule type="cellIs" dxfId="404" priority="159" operator="equal">
      <formula>0</formula>
    </cfRule>
  </conditionalFormatting>
  <conditionalFormatting sqref="K8">
    <cfRule type="cellIs" dxfId="403" priority="208" operator="lessThan">
      <formula>$N$8</formula>
    </cfRule>
    <cfRule type="cellIs" dxfId="402" priority="206" operator="equal">
      <formula>$N$8</formula>
    </cfRule>
    <cfRule type="cellIs" dxfId="401" priority="207" operator="greaterThan">
      <formula>$N$8</formula>
    </cfRule>
  </conditionalFormatting>
  <conditionalFormatting sqref="K14:K44">
    <cfRule type="cellIs" dxfId="400" priority="31" operator="lessThanOrEqual">
      <formula>0</formula>
    </cfRule>
    <cfRule type="cellIs" dxfId="399" priority="32" operator="greaterThan">
      <formula>0</formula>
    </cfRule>
  </conditionalFormatting>
  <conditionalFormatting sqref="K45">
    <cfRule type="cellIs" dxfId="398" priority="235" operator="lessThan">
      <formula>0</formula>
    </cfRule>
  </conditionalFormatting>
  <conditionalFormatting sqref="N14:O44">
    <cfRule type="cellIs" dxfId="397" priority="11" operator="equal">
      <formula>0</formula>
    </cfRule>
  </conditionalFormatting>
  <conditionalFormatting sqref="P13:P44">
    <cfRule type="cellIs" dxfId="396" priority="2" operator="equal">
      <formula>0</formula>
    </cfRule>
  </conditionalFormatting>
  <conditionalFormatting sqref="P60:P63">
    <cfRule type="cellIs" dxfId="395" priority="58" operator="lessThan">
      <formula>0</formula>
    </cfRule>
  </conditionalFormatting>
  <conditionalFormatting sqref="Q47">
    <cfRule type="cellIs" dxfId="394" priority="47" operator="equal">
      <formula>0</formula>
    </cfRule>
  </conditionalFormatting>
  <conditionalFormatting sqref="T14:T44">
    <cfRule type="cellIs" dxfId="393" priority="269" operator="equal">
      <formula>0</formula>
    </cfRule>
  </conditionalFormatting>
  <conditionalFormatting sqref="T45:W45">
    <cfRule type="cellIs" dxfId="392" priority="153" operator="equal">
      <formula>0</formula>
    </cfRule>
  </conditionalFormatting>
  <conditionalFormatting sqref="T51:W51">
    <cfRule type="cellIs" dxfId="391" priority="25" operator="equal">
      <formula>0</formula>
    </cfRule>
  </conditionalFormatting>
  <conditionalFormatting sqref="U15:W44">
    <cfRule type="cellIs" dxfId="390" priority="243" operator="equal">
      <formula>0</formula>
    </cfRule>
  </conditionalFormatting>
  <conditionalFormatting sqref="U51:Y53">
    <cfRule type="cellIs" dxfId="389" priority="15" operator="equal">
      <formula>0</formula>
    </cfRule>
  </conditionalFormatting>
  <conditionalFormatting sqref="V14">
    <cfRule type="cellIs" dxfId="388" priority="270" operator="equal">
      <formula>0</formula>
    </cfRule>
  </conditionalFormatting>
  <conditionalFormatting sqref="V13:W13">
    <cfRule type="cellIs" dxfId="387" priority="169" operator="equal">
      <formula>0</formula>
    </cfRule>
  </conditionalFormatting>
  <conditionalFormatting sqref="W52">
    <cfRule type="cellIs" dxfId="386" priority="19" operator="equal">
      <formula>0</formula>
    </cfRule>
  </conditionalFormatting>
  <conditionalFormatting sqref="X13:Y45">
    <cfRule type="cellIs" dxfId="385" priority="59" operator="equal">
      <formula>0</formula>
    </cfRule>
  </conditionalFormatting>
  <conditionalFormatting sqref="Z13:Z44">
    <cfRule type="cellIs" dxfId="384" priority="170" operator="equal">
      <formula>0</formula>
    </cfRule>
  </conditionalFormatting>
  <conditionalFormatting sqref="Z51:AC51">
    <cfRule type="cellIs" dxfId="383" priority="23" operator="equal">
      <formula>0</formula>
    </cfRule>
  </conditionalFormatting>
  <conditionalFormatting sqref="Z45:AD45">
    <cfRule type="cellIs" dxfId="382" priority="151" operator="equal">
      <formula>0</formula>
    </cfRule>
  </conditionalFormatting>
  <conditionalFormatting sqref="AA14:AB44">
    <cfRule type="cellIs" dxfId="381" priority="33" operator="equal">
      <formula>0</formula>
    </cfRule>
  </conditionalFormatting>
  <conditionalFormatting sqref="AA51:AE52">
    <cfRule type="cellIs" dxfId="380" priority="5" operator="equal">
      <formula>0</formula>
    </cfRule>
  </conditionalFormatting>
  <conditionalFormatting sqref="AC13:AD44">
    <cfRule type="cellIs" dxfId="379" priority="124" operator="equal">
      <formula>0</formula>
    </cfRule>
  </conditionalFormatting>
  <conditionalFormatting sqref="AE13:AE45">
    <cfRule type="cellIs" dxfId="378" priority="1" operator="equal">
      <formula>0</formula>
    </cfRule>
  </conditionalFormatting>
  <conditionalFormatting sqref="AF13:AG44">
    <cfRule type="cellIs" dxfId="377" priority="73" operator="equal">
      <formula>0</formula>
    </cfRule>
  </conditionalFormatting>
  <conditionalFormatting sqref="AG51:AH51">
    <cfRule type="cellIs" dxfId="376" priority="14" operator="equal">
      <formula>0</formula>
    </cfRule>
  </conditionalFormatting>
  <conditionalFormatting sqref="AH14:AH44">
    <cfRule type="cellIs" dxfId="375" priority="28" operator="equal">
      <formula>0</formula>
    </cfRule>
  </conditionalFormatting>
  <conditionalFormatting sqref="AH51:AH52">
    <cfRule type="cellIs" dxfId="374" priority="12" operator="equal">
      <formula>0</formula>
    </cfRule>
  </conditionalFormatting>
  <dataValidations count="4">
    <dataValidation type="list" allowBlank="1" showInputMessage="1" showErrorMessage="1" sqref="J14:J44" xr:uid="{8A1DD58B-C7E0-4A68-A6C2-813D90F0B1AA}">
      <formula1>AbwesenheitenStunden</formula1>
    </dataValidation>
    <dataValidation type="list" allowBlank="1" showInputMessage="1" showErrorMessage="1" error="Die Eingabe ist unzulässig_x000a_Bitte Drop Down Felder verwenden" sqref="F14:G44" xr:uid="{E5714B15-C98A-46EA-9756-A098264A7023}">
      <formula1>Zeiten1</formula1>
    </dataValidation>
    <dataValidation type="decimal" allowBlank="1" showInputMessage="1" showErrorMessage="1" error="Die ausgewählte Stundenanzahl steht nicht zur Verfügung!" sqref="J54" xr:uid="{E963BF58-953D-432F-A7AA-BA56B8F74BFC}">
      <formula1>0</formula1>
      <formula2>K54</formula2>
    </dataValidation>
    <dataValidation type="list" allowBlank="1" showInputMessage="1" showErrorMessage="1" sqref="H14:I44" xr:uid="{2BA872B9-5CAD-4BEA-BB5A-995CC10C75CA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92" id="{FEEB17FB-5439-4919-923A-78FA2CCBBCEC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5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ECA3738D-EC06-4C79-8FC8-EC955F080A19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8D9617E7-9F5C-4D18-BEFB-C154D6BB9782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A18FD5C9-D941-4CBA-9CB5-EAAA9C2C56DF}">
          <x14:formula1>
            <xm:f>Datenblatt!$D$58:$D$59</xm:f>
          </x14:formula1>
          <xm:sqref>P47 J58</xm:sqref>
        </x14:dataValidation>
        <x14:dataValidation type="list" allowBlank="1" showInputMessage="1" showErrorMessage="1" xr:uid="{E001FE77-8E26-4E31-B2FE-7538DC1A462C}">
          <x14:formula1>
            <xm:f>Datenblatt!$D$52:$D$53</xm:f>
          </x14:formula1>
          <xm:sqref>P48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71" customWidth="1"/>
    <col min="2" max="2" width="3.1640625" style="56" customWidth="1"/>
    <col min="3" max="3" width="8.83203125" style="56" customWidth="1"/>
    <col min="4" max="5" width="9.83203125" style="56" customWidth="1"/>
    <col min="6" max="10" width="9.1640625" style="56" customWidth="1"/>
    <col min="11" max="16" width="8.83203125" style="56" customWidth="1"/>
    <col min="17" max="17" width="23.5" style="66" customWidth="1"/>
    <col min="18" max="18" width="36.5" style="66" customWidth="1"/>
    <col min="19" max="19" width="43.5" style="56" customWidth="1"/>
    <col min="20" max="33" width="7.1640625" style="234" customWidth="1"/>
    <col min="34" max="34" width="7.1640625" style="301" customWidth="1"/>
    <col min="35" max="264" width="11.5" style="56"/>
    <col min="265" max="265" width="0.5" style="56" customWidth="1"/>
    <col min="266" max="266" width="3.1640625" style="56" customWidth="1"/>
    <col min="267" max="267" width="8.83203125" style="56" customWidth="1"/>
    <col min="268" max="268" width="14.83203125" style="56" customWidth="1"/>
    <col min="269" max="270" width="6.5" style="56" customWidth="1"/>
    <col min="271" max="271" width="14.83203125" style="56" customWidth="1"/>
    <col min="272" max="273" width="11.5" style="56" customWidth="1"/>
    <col min="274" max="274" width="6.1640625" style="56" customWidth="1"/>
    <col min="275" max="275" width="22.83203125" style="56" customWidth="1"/>
    <col min="276" max="276" width="11.5" style="56" customWidth="1"/>
    <col min="277" max="277" width="13.83203125" style="56" customWidth="1"/>
    <col min="278" max="278" width="5.83203125" style="56" customWidth="1"/>
    <col min="279" max="279" width="15.5" style="56" customWidth="1"/>
    <col min="280" max="520" width="11.5" style="56"/>
    <col min="521" max="521" width="0.5" style="56" customWidth="1"/>
    <col min="522" max="522" width="3.1640625" style="56" customWidth="1"/>
    <col min="523" max="523" width="8.83203125" style="56" customWidth="1"/>
    <col min="524" max="524" width="14.83203125" style="56" customWidth="1"/>
    <col min="525" max="526" width="6.5" style="56" customWidth="1"/>
    <col min="527" max="527" width="14.83203125" style="56" customWidth="1"/>
    <col min="528" max="529" width="11.5" style="56" customWidth="1"/>
    <col min="530" max="530" width="6.1640625" style="56" customWidth="1"/>
    <col min="531" max="531" width="22.83203125" style="56" customWidth="1"/>
    <col min="532" max="532" width="11.5" style="56" customWidth="1"/>
    <col min="533" max="533" width="13.83203125" style="56" customWidth="1"/>
    <col min="534" max="534" width="5.83203125" style="56" customWidth="1"/>
    <col min="535" max="535" width="15.5" style="56" customWidth="1"/>
    <col min="536" max="776" width="11.5" style="56"/>
    <col min="777" max="777" width="0.5" style="56" customWidth="1"/>
    <col min="778" max="778" width="3.1640625" style="56" customWidth="1"/>
    <col min="779" max="779" width="8.83203125" style="56" customWidth="1"/>
    <col min="780" max="780" width="14.83203125" style="56" customWidth="1"/>
    <col min="781" max="782" width="6.5" style="56" customWidth="1"/>
    <col min="783" max="783" width="14.83203125" style="56" customWidth="1"/>
    <col min="784" max="785" width="11.5" style="56" customWidth="1"/>
    <col min="786" max="786" width="6.1640625" style="56" customWidth="1"/>
    <col min="787" max="787" width="22.83203125" style="56" customWidth="1"/>
    <col min="788" max="788" width="11.5" style="56" customWidth="1"/>
    <col min="789" max="789" width="13.83203125" style="56" customWidth="1"/>
    <col min="790" max="790" width="5.83203125" style="56" customWidth="1"/>
    <col min="791" max="791" width="15.5" style="56" customWidth="1"/>
    <col min="792" max="1032" width="11.5" style="56"/>
    <col min="1033" max="1033" width="0.5" style="56" customWidth="1"/>
    <col min="1034" max="1034" width="3.1640625" style="56" customWidth="1"/>
    <col min="1035" max="1035" width="8.83203125" style="56" customWidth="1"/>
    <col min="1036" max="1036" width="14.83203125" style="56" customWidth="1"/>
    <col min="1037" max="1038" width="6.5" style="56" customWidth="1"/>
    <col min="1039" max="1039" width="14.83203125" style="56" customWidth="1"/>
    <col min="1040" max="1041" width="11.5" style="56" customWidth="1"/>
    <col min="1042" max="1042" width="6.1640625" style="56" customWidth="1"/>
    <col min="1043" max="1043" width="22.83203125" style="56" customWidth="1"/>
    <col min="1044" max="1044" width="11.5" style="56" customWidth="1"/>
    <col min="1045" max="1045" width="13.83203125" style="56" customWidth="1"/>
    <col min="1046" max="1046" width="5.83203125" style="56" customWidth="1"/>
    <col min="1047" max="1047" width="15.5" style="56" customWidth="1"/>
    <col min="1048" max="1288" width="11.5" style="56"/>
    <col min="1289" max="1289" width="0.5" style="56" customWidth="1"/>
    <col min="1290" max="1290" width="3.1640625" style="56" customWidth="1"/>
    <col min="1291" max="1291" width="8.83203125" style="56" customWidth="1"/>
    <col min="1292" max="1292" width="14.83203125" style="56" customWidth="1"/>
    <col min="1293" max="1294" width="6.5" style="56" customWidth="1"/>
    <col min="1295" max="1295" width="14.83203125" style="56" customWidth="1"/>
    <col min="1296" max="1297" width="11.5" style="56" customWidth="1"/>
    <col min="1298" max="1298" width="6.1640625" style="56" customWidth="1"/>
    <col min="1299" max="1299" width="22.83203125" style="56" customWidth="1"/>
    <col min="1300" max="1300" width="11.5" style="56" customWidth="1"/>
    <col min="1301" max="1301" width="13.83203125" style="56" customWidth="1"/>
    <col min="1302" max="1302" width="5.83203125" style="56" customWidth="1"/>
    <col min="1303" max="1303" width="15.5" style="56" customWidth="1"/>
    <col min="1304" max="1544" width="11.5" style="56"/>
    <col min="1545" max="1545" width="0.5" style="56" customWidth="1"/>
    <col min="1546" max="1546" width="3.1640625" style="56" customWidth="1"/>
    <col min="1547" max="1547" width="8.83203125" style="56" customWidth="1"/>
    <col min="1548" max="1548" width="14.83203125" style="56" customWidth="1"/>
    <col min="1549" max="1550" width="6.5" style="56" customWidth="1"/>
    <col min="1551" max="1551" width="14.83203125" style="56" customWidth="1"/>
    <col min="1552" max="1553" width="11.5" style="56" customWidth="1"/>
    <col min="1554" max="1554" width="6.1640625" style="56" customWidth="1"/>
    <col min="1555" max="1555" width="22.83203125" style="56" customWidth="1"/>
    <col min="1556" max="1556" width="11.5" style="56" customWidth="1"/>
    <col min="1557" max="1557" width="13.83203125" style="56" customWidth="1"/>
    <col min="1558" max="1558" width="5.83203125" style="56" customWidth="1"/>
    <col min="1559" max="1559" width="15.5" style="56" customWidth="1"/>
    <col min="1560" max="1800" width="11.5" style="56"/>
    <col min="1801" max="1801" width="0.5" style="56" customWidth="1"/>
    <col min="1802" max="1802" width="3.1640625" style="56" customWidth="1"/>
    <col min="1803" max="1803" width="8.83203125" style="56" customWidth="1"/>
    <col min="1804" max="1804" width="14.83203125" style="56" customWidth="1"/>
    <col min="1805" max="1806" width="6.5" style="56" customWidth="1"/>
    <col min="1807" max="1807" width="14.83203125" style="56" customWidth="1"/>
    <col min="1808" max="1809" width="11.5" style="56" customWidth="1"/>
    <col min="1810" max="1810" width="6.1640625" style="56" customWidth="1"/>
    <col min="1811" max="1811" width="22.83203125" style="56" customWidth="1"/>
    <col min="1812" max="1812" width="11.5" style="56" customWidth="1"/>
    <col min="1813" max="1813" width="13.83203125" style="56" customWidth="1"/>
    <col min="1814" max="1814" width="5.83203125" style="56" customWidth="1"/>
    <col min="1815" max="1815" width="15.5" style="56" customWidth="1"/>
    <col min="1816" max="2056" width="11.5" style="56"/>
    <col min="2057" max="2057" width="0.5" style="56" customWidth="1"/>
    <col min="2058" max="2058" width="3.1640625" style="56" customWidth="1"/>
    <col min="2059" max="2059" width="8.83203125" style="56" customWidth="1"/>
    <col min="2060" max="2060" width="14.83203125" style="56" customWidth="1"/>
    <col min="2061" max="2062" width="6.5" style="56" customWidth="1"/>
    <col min="2063" max="2063" width="14.83203125" style="56" customWidth="1"/>
    <col min="2064" max="2065" width="11.5" style="56" customWidth="1"/>
    <col min="2066" max="2066" width="6.1640625" style="56" customWidth="1"/>
    <col min="2067" max="2067" width="22.83203125" style="56" customWidth="1"/>
    <col min="2068" max="2068" width="11.5" style="56" customWidth="1"/>
    <col min="2069" max="2069" width="13.83203125" style="56" customWidth="1"/>
    <col min="2070" max="2070" width="5.83203125" style="56" customWidth="1"/>
    <col min="2071" max="2071" width="15.5" style="56" customWidth="1"/>
    <col min="2072" max="2312" width="11.5" style="56"/>
    <col min="2313" max="2313" width="0.5" style="56" customWidth="1"/>
    <col min="2314" max="2314" width="3.1640625" style="56" customWidth="1"/>
    <col min="2315" max="2315" width="8.83203125" style="56" customWidth="1"/>
    <col min="2316" max="2316" width="14.83203125" style="56" customWidth="1"/>
    <col min="2317" max="2318" width="6.5" style="56" customWidth="1"/>
    <col min="2319" max="2319" width="14.83203125" style="56" customWidth="1"/>
    <col min="2320" max="2321" width="11.5" style="56" customWidth="1"/>
    <col min="2322" max="2322" width="6.1640625" style="56" customWidth="1"/>
    <col min="2323" max="2323" width="22.83203125" style="56" customWidth="1"/>
    <col min="2324" max="2324" width="11.5" style="56" customWidth="1"/>
    <col min="2325" max="2325" width="13.83203125" style="56" customWidth="1"/>
    <col min="2326" max="2326" width="5.83203125" style="56" customWidth="1"/>
    <col min="2327" max="2327" width="15.5" style="56" customWidth="1"/>
    <col min="2328" max="2568" width="11.5" style="56"/>
    <col min="2569" max="2569" width="0.5" style="56" customWidth="1"/>
    <col min="2570" max="2570" width="3.1640625" style="56" customWidth="1"/>
    <col min="2571" max="2571" width="8.83203125" style="56" customWidth="1"/>
    <col min="2572" max="2572" width="14.83203125" style="56" customWidth="1"/>
    <col min="2573" max="2574" width="6.5" style="56" customWidth="1"/>
    <col min="2575" max="2575" width="14.83203125" style="56" customWidth="1"/>
    <col min="2576" max="2577" width="11.5" style="56" customWidth="1"/>
    <col min="2578" max="2578" width="6.1640625" style="56" customWidth="1"/>
    <col min="2579" max="2579" width="22.83203125" style="56" customWidth="1"/>
    <col min="2580" max="2580" width="11.5" style="56" customWidth="1"/>
    <col min="2581" max="2581" width="13.83203125" style="56" customWidth="1"/>
    <col min="2582" max="2582" width="5.83203125" style="56" customWidth="1"/>
    <col min="2583" max="2583" width="15.5" style="56" customWidth="1"/>
    <col min="2584" max="2824" width="11.5" style="56"/>
    <col min="2825" max="2825" width="0.5" style="56" customWidth="1"/>
    <col min="2826" max="2826" width="3.1640625" style="56" customWidth="1"/>
    <col min="2827" max="2827" width="8.83203125" style="56" customWidth="1"/>
    <col min="2828" max="2828" width="14.83203125" style="56" customWidth="1"/>
    <col min="2829" max="2830" width="6.5" style="56" customWidth="1"/>
    <col min="2831" max="2831" width="14.83203125" style="56" customWidth="1"/>
    <col min="2832" max="2833" width="11.5" style="56" customWidth="1"/>
    <col min="2834" max="2834" width="6.1640625" style="56" customWidth="1"/>
    <col min="2835" max="2835" width="22.83203125" style="56" customWidth="1"/>
    <col min="2836" max="2836" width="11.5" style="56" customWidth="1"/>
    <col min="2837" max="2837" width="13.83203125" style="56" customWidth="1"/>
    <col min="2838" max="2838" width="5.83203125" style="56" customWidth="1"/>
    <col min="2839" max="2839" width="15.5" style="56" customWidth="1"/>
    <col min="2840" max="3080" width="11.5" style="56"/>
    <col min="3081" max="3081" width="0.5" style="56" customWidth="1"/>
    <col min="3082" max="3082" width="3.1640625" style="56" customWidth="1"/>
    <col min="3083" max="3083" width="8.83203125" style="56" customWidth="1"/>
    <col min="3084" max="3084" width="14.83203125" style="56" customWidth="1"/>
    <col min="3085" max="3086" width="6.5" style="56" customWidth="1"/>
    <col min="3087" max="3087" width="14.83203125" style="56" customWidth="1"/>
    <col min="3088" max="3089" width="11.5" style="56" customWidth="1"/>
    <col min="3090" max="3090" width="6.1640625" style="56" customWidth="1"/>
    <col min="3091" max="3091" width="22.83203125" style="56" customWidth="1"/>
    <col min="3092" max="3092" width="11.5" style="56" customWidth="1"/>
    <col min="3093" max="3093" width="13.83203125" style="56" customWidth="1"/>
    <col min="3094" max="3094" width="5.83203125" style="56" customWidth="1"/>
    <col min="3095" max="3095" width="15.5" style="56" customWidth="1"/>
    <col min="3096" max="3336" width="11.5" style="56"/>
    <col min="3337" max="3337" width="0.5" style="56" customWidth="1"/>
    <col min="3338" max="3338" width="3.1640625" style="56" customWidth="1"/>
    <col min="3339" max="3339" width="8.83203125" style="56" customWidth="1"/>
    <col min="3340" max="3340" width="14.83203125" style="56" customWidth="1"/>
    <col min="3341" max="3342" width="6.5" style="56" customWidth="1"/>
    <col min="3343" max="3343" width="14.83203125" style="56" customWidth="1"/>
    <col min="3344" max="3345" width="11.5" style="56" customWidth="1"/>
    <col min="3346" max="3346" width="6.1640625" style="56" customWidth="1"/>
    <col min="3347" max="3347" width="22.83203125" style="56" customWidth="1"/>
    <col min="3348" max="3348" width="11.5" style="56" customWidth="1"/>
    <col min="3349" max="3349" width="13.83203125" style="56" customWidth="1"/>
    <col min="3350" max="3350" width="5.83203125" style="56" customWidth="1"/>
    <col min="3351" max="3351" width="15.5" style="56" customWidth="1"/>
    <col min="3352" max="3592" width="11.5" style="56"/>
    <col min="3593" max="3593" width="0.5" style="56" customWidth="1"/>
    <col min="3594" max="3594" width="3.1640625" style="56" customWidth="1"/>
    <col min="3595" max="3595" width="8.83203125" style="56" customWidth="1"/>
    <col min="3596" max="3596" width="14.83203125" style="56" customWidth="1"/>
    <col min="3597" max="3598" width="6.5" style="56" customWidth="1"/>
    <col min="3599" max="3599" width="14.83203125" style="56" customWidth="1"/>
    <col min="3600" max="3601" width="11.5" style="56" customWidth="1"/>
    <col min="3602" max="3602" width="6.1640625" style="56" customWidth="1"/>
    <col min="3603" max="3603" width="22.83203125" style="56" customWidth="1"/>
    <col min="3604" max="3604" width="11.5" style="56" customWidth="1"/>
    <col min="3605" max="3605" width="13.83203125" style="56" customWidth="1"/>
    <col min="3606" max="3606" width="5.83203125" style="56" customWidth="1"/>
    <col min="3607" max="3607" width="15.5" style="56" customWidth="1"/>
    <col min="3608" max="3848" width="11.5" style="56"/>
    <col min="3849" max="3849" width="0.5" style="56" customWidth="1"/>
    <col min="3850" max="3850" width="3.1640625" style="56" customWidth="1"/>
    <col min="3851" max="3851" width="8.83203125" style="56" customWidth="1"/>
    <col min="3852" max="3852" width="14.83203125" style="56" customWidth="1"/>
    <col min="3853" max="3854" width="6.5" style="56" customWidth="1"/>
    <col min="3855" max="3855" width="14.83203125" style="56" customWidth="1"/>
    <col min="3856" max="3857" width="11.5" style="56" customWidth="1"/>
    <col min="3858" max="3858" width="6.1640625" style="56" customWidth="1"/>
    <col min="3859" max="3859" width="22.83203125" style="56" customWidth="1"/>
    <col min="3860" max="3860" width="11.5" style="56" customWidth="1"/>
    <col min="3861" max="3861" width="13.83203125" style="56" customWidth="1"/>
    <col min="3862" max="3862" width="5.83203125" style="56" customWidth="1"/>
    <col min="3863" max="3863" width="15.5" style="56" customWidth="1"/>
    <col min="3864" max="4104" width="11.5" style="56"/>
    <col min="4105" max="4105" width="0.5" style="56" customWidth="1"/>
    <col min="4106" max="4106" width="3.1640625" style="56" customWidth="1"/>
    <col min="4107" max="4107" width="8.83203125" style="56" customWidth="1"/>
    <col min="4108" max="4108" width="14.83203125" style="56" customWidth="1"/>
    <col min="4109" max="4110" width="6.5" style="56" customWidth="1"/>
    <col min="4111" max="4111" width="14.83203125" style="56" customWidth="1"/>
    <col min="4112" max="4113" width="11.5" style="56" customWidth="1"/>
    <col min="4114" max="4114" width="6.1640625" style="56" customWidth="1"/>
    <col min="4115" max="4115" width="22.83203125" style="56" customWidth="1"/>
    <col min="4116" max="4116" width="11.5" style="56" customWidth="1"/>
    <col min="4117" max="4117" width="13.83203125" style="56" customWidth="1"/>
    <col min="4118" max="4118" width="5.83203125" style="56" customWidth="1"/>
    <col min="4119" max="4119" width="15.5" style="56" customWidth="1"/>
    <col min="4120" max="4360" width="11.5" style="56"/>
    <col min="4361" max="4361" width="0.5" style="56" customWidth="1"/>
    <col min="4362" max="4362" width="3.1640625" style="56" customWidth="1"/>
    <col min="4363" max="4363" width="8.83203125" style="56" customWidth="1"/>
    <col min="4364" max="4364" width="14.83203125" style="56" customWidth="1"/>
    <col min="4365" max="4366" width="6.5" style="56" customWidth="1"/>
    <col min="4367" max="4367" width="14.83203125" style="56" customWidth="1"/>
    <col min="4368" max="4369" width="11.5" style="56" customWidth="1"/>
    <col min="4370" max="4370" width="6.1640625" style="56" customWidth="1"/>
    <col min="4371" max="4371" width="22.83203125" style="56" customWidth="1"/>
    <col min="4372" max="4372" width="11.5" style="56" customWidth="1"/>
    <col min="4373" max="4373" width="13.83203125" style="56" customWidth="1"/>
    <col min="4374" max="4374" width="5.83203125" style="56" customWidth="1"/>
    <col min="4375" max="4375" width="15.5" style="56" customWidth="1"/>
    <col min="4376" max="4616" width="11.5" style="56"/>
    <col min="4617" max="4617" width="0.5" style="56" customWidth="1"/>
    <col min="4618" max="4618" width="3.1640625" style="56" customWidth="1"/>
    <col min="4619" max="4619" width="8.83203125" style="56" customWidth="1"/>
    <col min="4620" max="4620" width="14.83203125" style="56" customWidth="1"/>
    <col min="4621" max="4622" width="6.5" style="56" customWidth="1"/>
    <col min="4623" max="4623" width="14.83203125" style="56" customWidth="1"/>
    <col min="4624" max="4625" width="11.5" style="56" customWidth="1"/>
    <col min="4626" max="4626" width="6.1640625" style="56" customWidth="1"/>
    <col min="4627" max="4627" width="22.83203125" style="56" customWidth="1"/>
    <col min="4628" max="4628" width="11.5" style="56" customWidth="1"/>
    <col min="4629" max="4629" width="13.83203125" style="56" customWidth="1"/>
    <col min="4630" max="4630" width="5.83203125" style="56" customWidth="1"/>
    <col min="4631" max="4631" width="15.5" style="56" customWidth="1"/>
    <col min="4632" max="4872" width="11.5" style="56"/>
    <col min="4873" max="4873" width="0.5" style="56" customWidth="1"/>
    <col min="4874" max="4874" width="3.1640625" style="56" customWidth="1"/>
    <col min="4875" max="4875" width="8.83203125" style="56" customWidth="1"/>
    <col min="4876" max="4876" width="14.83203125" style="56" customWidth="1"/>
    <col min="4877" max="4878" width="6.5" style="56" customWidth="1"/>
    <col min="4879" max="4879" width="14.83203125" style="56" customWidth="1"/>
    <col min="4880" max="4881" width="11.5" style="56" customWidth="1"/>
    <col min="4882" max="4882" width="6.1640625" style="56" customWidth="1"/>
    <col min="4883" max="4883" width="22.83203125" style="56" customWidth="1"/>
    <col min="4884" max="4884" width="11.5" style="56" customWidth="1"/>
    <col min="4885" max="4885" width="13.83203125" style="56" customWidth="1"/>
    <col min="4886" max="4886" width="5.83203125" style="56" customWidth="1"/>
    <col min="4887" max="4887" width="15.5" style="56" customWidth="1"/>
    <col min="4888" max="5128" width="11.5" style="56"/>
    <col min="5129" max="5129" width="0.5" style="56" customWidth="1"/>
    <col min="5130" max="5130" width="3.1640625" style="56" customWidth="1"/>
    <col min="5131" max="5131" width="8.83203125" style="56" customWidth="1"/>
    <col min="5132" max="5132" width="14.83203125" style="56" customWidth="1"/>
    <col min="5133" max="5134" width="6.5" style="56" customWidth="1"/>
    <col min="5135" max="5135" width="14.83203125" style="56" customWidth="1"/>
    <col min="5136" max="5137" width="11.5" style="56" customWidth="1"/>
    <col min="5138" max="5138" width="6.1640625" style="56" customWidth="1"/>
    <col min="5139" max="5139" width="22.83203125" style="56" customWidth="1"/>
    <col min="5140" max="5140" width="11.5" style="56" customWidth="1"/>
    <col min="5141" max="5141" width="13.83203125" style="56" customWidth="1"/>
    <col min="5142" max="5142" width="5.83203125" style="56" customWidth="1"/>
    <col min="5143" max="5143" width="15.5" style="56" customWidth="1"/>
    <col min="5144" max="5384" width="11.5" style="56"/>
    <col min="5385" max="5385" width="0.5" style="56" customWidth="1"/>
    <col min="5386" max="5386" width="3.1640625" style="56" customWidth="1"/>
    <col min="5387" max="5387" width="8.83203125" style="56" customWidth="1"/>
    <col min="5388" max="5388" width="14.83203125" style="56" customWidth="1"/>
    <col min="5389" max="5390" width="6.5" style="56" customWidth="1"/>
    <col min="5391" max="5391" width="14.83203125" style="56" customWidth="1"/>
    <col min="5392" max="5393" width="11.5" style="56" customWidth="1"/>
    <col min="5394" max="5394" width="6.1640625" style="56" customWidth="1"/>
    <col min="5395" max="5395" width="22.83203125" style="56" customWidth="1"/>
    <col min="5396" max="5396" width="11.5" style="56" customWidth="1"/>
    <col min="5397" max="5397" width="13.83203125" style="56" customWidth="1"/>
    <col min="5398" max="5398" width="5.83203125" style="56" customWidth="1"/>
    <col min="5399" max="5399" width="15.5" style="56" customWidth="1"/>
    <col min="5400" max="5640" width="11.5" style="56"/>
    <col min="5641" max="5641" width="0.5" style="56" customWidth="1"/>
    <col min="5642" max="5642" width="3.1640625" style="56" customWidth="1"/>
    <col min="5643" max="5643" width="8.83203125" style="56" customWidth="1"/>
    <col min="5644" max="5644" width="14.83203125" style="56" customWidth="1"/>
    <col min="5645" max="5646" width="6.5" style="56" customWidth="1"/>
    <col min="5647" max="5647" width="14.83203125" style="56" customWidth="1"/>
    <col min="5648" max="5649" width="11.5" style="56" customWidth="1"/>
    <col min="5650" max="5650" width="6.1640625" style="56" customWidth="1"/>
    <col min="5651" max="5651" width="22.83203125" style="56" customWidth="1"/>
    <col min="5652" max="5652" width="11.5" style="56" customWidth="1"/>
    <col min="5653" max="5653" width="13.83203125" style="56" customWidth="1"/>
    <col min="5654" max="5654" width="5.83203125" style="56" customWidth="1"/>
    <col min="5655" max="5655" width="15.5" style="56" customWidth="1"/>
    <col min="5656" max="5896" width="11.5" style="56"/>
    <col min="5897" max="5897" width="0.5" style="56" customWidth="1"/>
    <col min="5898" max="5898" width="3.1640625" style="56" customWidth="1"/>
    <col min="5899" max="5899" width="8.83203125" style="56" customWidth="1"/>
    <col min="5900" max="5900" width="14.83203125" style="56" customWidth="1"/>
    <col min="5901" max="5902" width="6.5" style="56" customWidth="1"/>
    <col min="5903" max="5903" width="14.83203125" style="56" customWidth="1"/>
    <col min="5904" max="5905" width="11.5" style="56" customWidth="1"/>
    <col min="5906" max="5906" width="6.1640625" style="56" customWidth="1"/>
    <col min="5907" max="5907" width="22.83203125" style="56" customWidth="1"/>
    <col min="5908" max="5908" width="11.5" style="56" customWidth="1"/>
    <col min="5909" max="5909" width="13.83203125" style="56" customWidth="1"/>
    <col min="5910" max="5910" width="5.83203125" style="56" customWidth="1"/>
    <col min="5911" max="5911" width="15.5" style="56" customWidth="1"/>
    <col min="5912" max="6152" width="11.5" style="56"/>
    <col min="6153" max="6153" width="0.5" style="56" customWidth="1"/>
    <col min="6154" max="6154" width="3.1640625" style="56" customWidth="1"/>
    <col min="6155" max="6155" width="8.83203125" style="56" customWidth="1"/>
    <col min="6156" max="6156" width="14.83203125" style="56" customWidth="1"/>
    <col min="6157" max="6158" width="6.5" style="56" customWidth="1"/>
    <col min="6159" max="6159" width="14.83203125" style="56" customWidth="1"/>
    <col min="6160" max="6161" width="11.5" style="56" customWidth="1"/>
    <col min="6162" max="6162" width="6.1640625" style="56" customWidth="1"/>
    <col min="6163" max="6163" width="22.83203125" style="56" customWidth="1"/>
    <col min="6164" max="6164" width="11.5" style="56" customWidth="1"/>
    <col min="6165" max="6165" width="13.83203125" style="56" customWidth="1"/>
    <col min="6166" max="6166" width="5.83203125" style="56" customWidth="1"/>
    <col min="6167" max="6167" width="15.5" style="56" customWidth="1"/>
    <col min="6168" max="6408" width="11.5" style="56"/>
    <col min="6409" max="6409" width="0.5" style="56" customWidth="1"/>
    <col min="6410" max="6410" width="3.1640625" style="56" customWidth="1"/>
    <col min="6411" max="6411" width="8.83203125" style="56" customWidth="1"/>
    <col min="6412" max="6412" width="14.83203125" style="56" customWidth="1"/>
    <col min="6413" max="6414" width="6.5" style="56" customWidth="1"/>
    <col min="6415" max="6415" width="14.83203125" style="56" customWidth="1"/>
    <col min="6416" max="6417" width="11.5" style="56" customWidth="1"/>
    <col min="6418" max="6418" width="6.1640625" style="56" customWidth="1"/>
    <col min="6419" max="6419" width="22.83203125" style="56" customWidth="1"/>
    <col min="6420" max="6420" width="11.5" style="56" customWidth="1"/>
    <col min="6421" max="6421" width="13.83203125" style="56" customWidth="1"/>
    <col min="6422" max="6422" width="5.83203125" style="56" customWidth="1"/>
    <col min="6423" max="6423" width="15.5" style="56" customWidth="1"/>
    <col min="6424" max="6664" width="11.5" style="56"/>
    <col min="6665" max="6665" width="0.5" style="56" customWidth="1"/>
    <col min="6666" max="6666" width="3.1640625" style="56" customWidth="1"/>
    <col min="6667" max="6667" width="8.83203125" style="56" customWidth="1"/>
    <col min="6668" max="6668" width="14.83203125" style="56" customWidth="1"/>
    <col min="6669" max="6670" width="6.5" style="56" customWidth="1"/>
    <col min="6671" max="6671" width="14.83203125" style="56" customWidth="1"/>
    <col min="6672" max="6673" width="11.5" style="56" customWidth="1"/>
    <col min="6674" max="6674" width="6.1640625" style="56" customWidth="1"/>
    <col min="6675" max="6675" width="22.83203125" style="56" customWidth="1"/>
    <col min="6676" max="6676" width="11.5" style="56" customWidth="1"/>
    <col min="6677" max="6677" width="13.83203125" style="56" customWidth="1"/>
    <col min="6678" max="6678" width="5.83203125" style="56" customWidth="1"/>
    <col min="6679" max="6679" width="15.5" style="56" customWidth="1"/>
    <col min="6680" max="6920" width="11.5" style="56"/>
    <col min="6921" max="6921" width="0.5" style="56" customWidth="1"/>
    <col min="6922" max="6922" width="3.1640625" style="56" customWidth="1"/>
    <col min="6923" max="6923" width="8.83203125" style="56" customWidth="1"/>
    <col min="6924" max="6924" width="14.83203125" style="56" customWidth="1"/>
    <col min="6925" max="6926" width="6.5" style="56" customWidth="1"/>
    <col min="6927" max="6927" width="14.83203125" style="56" customWidth="1"/>
    <col min="6928" max="6929" width="11.5" style="56" customWidth="1"/>
    <col min="6930" max="6930" width="6.1640625" style="56" customWidth="1"/>
    <col min="6931" max="6931" width="22.83203125" style="56" customWidth="1"/>
    <col min="6932" max="6932" width="11.5" style="56" customWidth="1"/>
    <col min="6933" max="6933" width="13.83203125" style="56" customWidth="1"/>
    <col min="6934" max="6934" width="5.83203125" style="56" customWidth="1"/>
    <col min="6935" max="6935" width="15.5" style="56" customWidth="1"/>
    <col min="6936" max="7176" width="11.5" style="56"/>
    <col min="7177" max="7177" width="0.5" style="56" customWidth="1"/>
    <col min="7178" max="7178" width="3.1640625" style="56" customWidth="1"/>
    <col min="7179" max="7179" width="8.83203125" style="56" customWidth="1"/>
    <col min="7180" max="7180" width="14.83203125" style="56" customWidth="1"/>
    <col min="7181" max="7182" width="6.5" style="56" customWidth="1"/>
    <col min="7183" max="7183" width="14.83203125" style="56" customWidth="1"/>
    <col min="7184" max="7185" width="11.5" style="56" customWidth="1"/>
    <col min="7186" max="7186" width="6.1640625" style="56" customWidth="1"/>
    <col min="7187" max="7187" width="22.83203125" style="56" customWidth="1"/>
    <col min="7188" max="7188" width="11.5" style="56" customWidth="1"/>
    <col min="7189" max="7189" width="13.83203125" style="56" customWidth="1"/>
    <col min="7190" max="7190" width="5.83203125" style="56" customWidth="1"/>
    <col min="7191" max="7191" width="15.5" style="56" customWidth="1"/>
    <col min="7192" max="7432" width="11.5" style="56"/>
    <col min="7433" max="7433" width="0.5" style="56" customWidth="1"/>
    <col min="7434" max="7434" width="3.1640625" style="56" customWidth="1"/>
    <col min="7435" max="7435" width="8.83203125" style="56" customWidth="1"/>
    <col min="7436" max="7436" width="14.83203125" style="56" customWidth="1"/>
    <col min="7437" max="7438" width="6.5" style="56" customWidth="1"/>
    <col min="7439" max="7439" width="14.83203125" style="56" customWidth="1"/>
    <col min="7440" max="7441" width="11.5" style="56" customWidth="1"/>
    <col min="7442" max="7442" width="6.1640625" style="56" customWidth="1"/>
    <col min="7443" max="7443" width="22.83203125" style="56" customWidth="1"/>
    <col min="7444" max="7444" width="11.5" style="56" customWidth="1"/>
    <col min="7445" max="7445" width="13.83203125" style="56" customWidth="1"/>
    <col min="7446" max="7446" width="5.83203125" style="56" customWidth="1"/>
    <col min="7447" max="7447" width="15.5" style="56" customWidth="1"/>
    <col min="7448" max="7688" width="11.5" style="56"/>
    <col min="7689" max="7689" width="0.5" style="56" customWidth="1"/>
    <col min="7690" max="7690" width="3.1640625" style="56" customWidth="1"/>
    <col min="7691" max="7691" width="8.83203125" style="56" customWidth="1"/>
    <col min="7692" max="7692" width="14.83203125" style="56" customWidth="1"/>
    <col min="7693" max="7694" width="6.5" style="56" customWidth="1"/>
    <col min="7695" max="7695" width="14.83203125" style="56" customWidth="1"/>
    <col min="7696" max="7697" width="11.5" style="56" customWidth="1"/>
    <col min="7698" max="7698" width="6.1640625" style="56" customWidth="1"/>
    <col min="7699" max="7699" width="22.83203125" style="56" customWidth="1"/>
    <col min="7700" max="7700" width="11.5" style="56" customWidth="1"/>
    <col min="7701" max="7701" width="13.83203125" style="56" customWidth="1"/>
    <col min="7702" max="7702" width="5.83203125" style="56" customWidth="1"/>
    <col min="7703" max="7703" width="15.5" style="56" customWidth="1"/>
    <col min="7704" max="7944" width="11.5" style="56"/>
    <col min="7945" max="7945" width="0.5" style="56" customWidth="1"/>
    <col min="7946" max="7946" width="3.1640625" style="56" customWidth="1"/>
    <col min="7947" max="7947" width="8.83203125" style="56" customWidth="1"/>
    <col min="7948" max="7948" width="14.83203125" style="56" customWidth="1"/>
    <col min="7949" max="7950" width="6.5" style="56" customWidth="1"/>
    <col min="7951" max="7951" width="14.83203125" style="56" customWidth="1"/>
    <col min="7952" max="7953" width="11.5" style="56" customWidth="1"/>
    <col min="7954" max="7954" width="6.1640625" style="56" customWidth="1"/>
    <col min="7955" max="7955" width="22.83203125" style="56" customWidth="1"/>
    <col min="7956" max="7956" width="11.5" style="56" customWidth="1"/>
    <col min="7957" max="7957" width="13.83203125" style="56" customWidth="1"/>
    <col min="7958" max="7958" width="5.83203125" style="56" customWidth="1"/>
    <col min="7959" max="7959" width="15.5" style="56" customWidth="1"/>
    <col min="7960" max="8200" width="11.5" style="56"/>
    <col min="8201" max="8201" width="0.5" style="56" customWidth="1"/>
    <col min="8202" max="8202" width="3.1640625" style="56" customWidth="1"/>
    <col min="8203" max="8203" width="8.83203125" style="56" customWidth="1"/>
    <col min="8204" max="8204" width="14.83203125" style="56" customWidth="1"/>
    <col min="8205" max="8206" width="6.5" style="56" customWidth="1"/>
    <col min="8207" max="8207" width="14.83203125" style="56" customWidth="1"/>
    <col min="8208" max="8209" width="11.5" style="56" customWidth="1"/>
    <col min="8210" max="8210" width="6.1640625" style="56" customWidth="1"/>
    <col min="8211" max="8211" width="22.83203125" style="56" customWidth="1"/>
    <col min="8212" max="8212" width="11.5" style="56" customWidth="1"/>
    <col min="8213" max="8213" width="13.83203125" style="56" customWidth="1"/>
    <col min="8214" max="8214" width="5.83203125" style="56" customWidth="1"/>
    <col min="8215" max="8215" width="15.5" style="56" customWidth="1"/>
    <col min="8216" max="8456" width="11.5" style="56"/>
    <col min="8457" max="8457" width="0.5" style="56" customWidth="1"/>
    <col min="8458" max="8458" width="3.1640625" style="56" customWidth="1"/>
    <col min="8459" max="8459" width="8.83203125" style="56" customWidth="1"/>
    <col min="8460" max="8460" width="14.83203125" style="56" customWidth="1"/>
    <col min="8461" max="8462" width="6.5" style="56" customWidth="1"/>
    <col min="8463" max="8463" width="14.83203125" style="56" customWidth="1"/>
    <col min="8464" max="8465" width="11.5" style="56" customWidth="1"/>
    <col min="8466" max="8466" width="6.1640625" style="56" customWidth="1"/>
    <col min="8467" max="8467" width="22.83203125" style="56" customWidth="1"/>
    <col min="8468" max="8468" width="11.5" style="56" customWidth="1"/>
    <col min="8469" max="8469" width="13.83203125" style="56" customWidth="1"/>
    <col min="8470" max="8470" width="5.83203125" style="56" customWidth="1"/>
    <col min="8471" max="8471" width="15.5" style="56" customWidth="1"/>
    <col min="8472" max="8712" width="11.5" style="56"/>
    <col min="8713" max="8713" width="0.5" style="56" customWidth="1"/>
    <col min="8714" max="8714" width="3.1640625" style="56" customWidth="1"/>
    <col min="8715" max="8715" width="8.83203125" style="56" customWidth="1"/>
    <col min="8716" max="8716" width="14.83203125" style="56" customWidth="1"/>
    <col min="8717" max="8718" width="6.5" style="56" customWidth="1"/>
    <col min="8719" max="8719" width="14.83203125" style="56" customWidth="1"/>
    <col min="8720" max="8721" width="11.5" style="56" customWidth="1"/>
    <col min="8722" max="8722" width="6.1640625" style="56" customWidth="1"/>
    <col min="8723" max="8723" width="22.83203125" style="56" customWidth="1"/>
    <col min="8724" max="8724" width="11.5" style="56" customWidth="1"/>
    <col min="8725" max="8725" width="13.83203125" style="56" customWidth="1"/>
    <col min="8726" max="8726" width="5.83203125" style="56" customWidth="1"/>
    <col min="8727" max="8727" width="15.5" style="56" customWidth="1"/>
    <col min="8728" max="8968" width="11.5" style="56"/>
    <col min="8969" max="8969" width="0.5" style="56" customWidth="1"/>
    <col min="8970" max="8970" width="3.1640625" style="56" customWidth="1"/>
    <col min="8971" max="8971" width="8.83203125" style="56" customWidth="1"/>
    <col min="8972" max="8972" width="14.83203125" style="56" customWidth="1"/>
    <col min="8973" max="8974" width="6.5" style="56" customWidth="1"/>
    <col min="8975" max="8975" width="14.83203125" style="56" customWidth="1"/>
    <col min="8976" max="8977" width="11.5" style="56" customWidth="1"/>
    <col min="8978" max="8978" width="6.1640625" style="56" customWidth="1"/>
    <col min="8979" max="8979" width="22.83203125" style="56" customWidth="1"/>
    <col min="8980" max="8980" width="11.5" style="56" customWidth="1"/>
    <col min="8981" max="8981" width="13.83203125" style="56" customWidth="1"/>
    <col min="8982" max="8982" width="5.83203125" style="56" customWidth="1"/>
    <col min="8983" max="8983" width="15.5" style="56" customWidth="1"/>
    <col min="8984" max="9224" width="11.5" style="56"/>
    <col min="9225" max="9225" width="0.5" style="56" customWidth="1"/>
    <col min="9226" max="9226" width="3.1640625" style="56" customWidth="1"/>
    <col min="9227" max="9227" width="8.83203125" style="56" customWidth="1"/>
    <col min="9228" max="9228" width="14.83203125" style="56" customWidth="1"/>
    <col min="9229" max="9230" width="6.5" style="56" customWidth="1"/>
    <col min="9231" max="9231" width="14.83203125" style="56" customWidth="1"/>
    <col min="9232" max="9233" width="11.5" style="56" customWidth="1"/>
    <col min="9234" max="9234" width="6.1640625" style="56" customWidth="1"/>
    <col min="9235" max="9235" width="22.83203125" style="56" customWidth="1"/>
    <col min="9236" max="9236" width="11.5" style="56" customWidth="1"/>
    <col min="9237" max="9237" width="13.83203125" style="56" customWidth="1"/>
    <col min="9238" max="9238" width="5.83203125" style="56" customWidth="1"/>
    <col min="9239" max="9239" width="15.5" style="56" customWidth="1"/>
    <col min="9240" max="9480" width="11.5" style="56"/>
    <col min="9481" max="9481" width="0.5" style="56" customWidth="1"/>
    <col min="9482" max="9482" width="3.1640625" style="56" customWidth="1"/>
    <col min="9483" max="9483" width="8.83203125" style="56" customWidth="1"/>
    <col min="9484" max="9484" width="14.83203125" style="56" customWidth="1"/>
    <col min="9485" max="9486" width="6.5" style="56" customWidth="1"/>
    <col min="9487" max="9487" width="14.83203125" style="56" customWidth="1"/>
    <col min="9488" max="9489" width="11.5" style="56" customWidth="1"/>
    <col min="9490" max="9490" width="6.1640625" style="56" customWidth="1"/>
    <col min="9491" max="9491" width="22.83203125" style="56" customWidth="1"/>
    <col min="9492" max="9492" width="11.5" style="56" customWidth="1"/>
    <col min="9493" max="9493" width="13.83203125" style="56" customWidth="1"/>
    <col min="9494" max="9494" width="5.83203125" style="56" customWidth="1"/>
    <col min="9495" max="9495" width="15.5" style="56" customWidth="1"/>
    <col min="9496" max="9736" width="11.5" style="56"/>
    <col min="9737" max="9737" width="0.5" style="56" customWidth="1"/>
    <col min="9738" max="9738" width="3.1640625" style="56" customWidth="1"/>
    <col min="9739" max="9739" width="8.83203125" style="56" customWidth="1"/>
    <col min="9740" max="9740" width="14.83203125" style="56" customWidth="1"/>
    <col min="9741" max="9742" width="6.5" style="56" customWidth="1"/>
    <col min="9743" max="9743" width="14.83203125" style="56" customWidth="1"/>
    <col min="9744" max="9745" width="11.5" style="56" customWidth="1"/>
    <col min="9746" max="9746" width="6.1640625" style="56" customWidth="1"/>
    <col min="9747" max="9747" width="22.83203125" style="56" customWidth="1"/>
    <col min="9748" max="9748" width="11.5" style="56" customWidth="1"/>
    <col min="9749" max="9749" width="13.83203125" style="56" customWidth="1"/>
    <col min="9750" max="9750" width="5.83203125" style="56" customWidth="1"/>
    <col min="9751" max="9751" width="15.5" style="56" customWidth="1"/>
    <col min="9752" max="9992" width="11.5" style="56"/>
    <col min="9993" max="9993" width="0.5" style="56" customWidth="1"/>
    <col min="9994" max="9994" width="3.1640625" style="56" customWidth="1"/>
    <col min="9995" max="9995" width="8.83203125" style="56" customWidth="1"/>
    <col min="9996" max="9996" width="14.83203125" style="56" customWidth="1"/>
    <col min="9997" max="9998" width="6.5" style="56" customWidth="1"/>
    <col min="9999" max="9999" width="14.83203125" style="56" customWidth="1"/>
    <col min="10000" max="10001" width="11.5" style="56" customWidth="1"/>
    <col min="10002" max="10002" width="6.1640625" style="56" customWidth="1"/>
    <col min="10003" max="10003" width="22.83203125" style="56" customWidth="1"/>
    <col min="10004" max="10004" width="11.5" style="56" customWidth="1"/>
    <col min="10005" max="10005" width="13.83203125" style="56" customWidth="1"/>
    <col min="10006" max="10006" width="5.83203125" style="56" customWidth="1"/>
    <col min="10007" max="10007" width="15.5" style="56" customWidth="1"/>
    <col min="10008" max="10248" width="11.5" style="56"/>
    <col min="10249" max="10249" width="0.5" style="56" customWidth="1"/>
    <col min="10250" max="10250" width="3.1640625" style="56" customWidth="1"/>
    <col min="10251" max="10251" width="8.83203125" style="56" customWidth="1"/>
    <col min="10252" max="10252" width="14.83203125" style="56" customWidth="1"/>
    <col min="10253" max="10254" width="6.5" style="56" customWidth="1"/>
    <col min="10255" max="10255" width="14.83203125" style="56" customWidth="1"/>
    <col min="10256" max="10257" width="11.5" style="56" customWidth="1"/>
    <col min="10258" max="10258" width="6.1640625" style="56" customWidth="1"/>
    <col min="10259" max="10259" width="22.83203125" style="56" customWidth="1"/>
    <col min="10260" max="10260" width="11.5" style="56" customWidth="1"/>
    <col min="10261" max="10261" width="13.83203125" style="56" customWidth="1"/>
    <col min="10262" max="10262" width="5.83203125" style="56" customWidth="1"/>
    <col min="10263" max="10263" width="15.5" style="56" customWidth="1"/>
    <col min="10264" max="10504" width="11.5" style="56"/>
    <col min="10505" max="10505" width="0.5" style="56" customWidth="1"/>
    <col min="10506" max="10506" width="3.1640625" style="56" customWidth="1"/>
    <col min="10507" max="10507" width="8.83203125" style="56" customWidth="1"/>
    <col min="10508" max="10508" width="14.83203125" style="56" customWidth="1"/>
    <col min="10509" max="10510" width="6.5" style="56" customWidth="1"/>
    <col min="10511" max="10511" width="14.83203125" style="56" customWidth="1"/>
    <col min="10512" max="10513" width="11.5" style="56" customWidth="1"/>
    <col min="10514" max="10514" width="6.1640625" style="56" customWidth="1"/>
    <col min="10515" max="10515" width="22.83203125" style="56" customWidth="1"/>
    <col min="10516" max="10516" width="11.5" style="56" customWidth="1"/>
    <col min="10517" max="10517" width="13.83203125" style="56" customWidth="1"/>
    <col min="10518" max="10518" width="5.83203125" style="56" customWidth="1"/>
    <col min="10519" max="10519" width="15.5" style="56" customWidth="1"/>
    <col min="10520" max="10760" width="11.5" style="56"/>
    <col min="10761" max="10761" width="0.5" style="56" customWidth="1"/>
    <col min="10762" max="10762" width="3.1640625" style="56" customWidth="1"/>
    <col min="10763" max="10763" width="8.83203125" style="56" customWidth="1"/>
    <col min="10764" max="10764" width="14.83203125" style="56" customWidth="1"/>
    <col min="10765" max="10766" width="6.5" style="56" customWidth="1"/>
    <col min="10767" max="10767" width="14.83203125" style="56" customWidth="1"/>
    <col min="10768" max="10769" width="11.5" style="56" customWidth="1"/>
    <col min="10770" max="10770" width="6.1640625" style="56" customWidth="1"/>
    <col min="10771" max="10771" width="22.83203125" style="56" customWidth="1"/>
    <col min="10772" max="10772" width="11.5" style="56" customWidth="1"/>
    <col min="10773" max="10773" width="13.83203125" style="56" customWidth="1"/>
    <col min="10774" max="10774" width="5.83203125" style="56" customWidth="1"/>
    <col min="10775" max="10775" width="15.5" style="56" customWidth="1"/>
    <col min="10776" max="11016" width="11.5" style="56"/>
    <col min="11017" max="11017" width="0.5" style="56" customWidth="1"/>
    <col min="11018" max="11018" width="3.1640625" style="56" customWidth="1"/>
    <col min="11019" max="11019" width="8.83203125" style="56" customWidth="1"/>
    <col min="11020" max="11020" width="14.83203125" style="56" customWidth="1"/>
    <col min="11021" max="11022" width="6.5" style="56" customWidth="1"/>
    <col min="11023" max="11023" width="14.83203125" style="56" customWidth="1"/>
    <col min="11024" max="11025" width="11.5" style="56" customWidth="1"/>
    <col min="11026" max="11026" width="6.1640625" style="56" customWidth="1"/>
    <col min="11027" max="11027" width="22.83203125" style="56" customWidth="1"/>
    <col min="11028" max="11028" width="11.5" style="56" customWidth="1"/>
    <col min="11029" max="11029" width="13.83203125" style="56" customWidth="1"/>
    <col min="11030" max="11030" width="5.83203125" style="56" customWidth="1"/>
    <col min="11031" max="11031" width="15.5" style="56" customWidth="1"/>
    <col min="11032" max="11272" width="11.5" style="56"/>
    <col min="11273" max="11273" width="0.5" style="56" customWidth="1"/>
    <col min="11274" max="11274" width="3.1640625" style="56" customWidth="1"/>
    <col min="11275" max="11275" width="8.83203125" style="56" customWidth="1"/>
    <col min="11276" max="11276" width="14.83203125" style="56" customWidth="1"/>
    <col min="11277" max="11278" width="6.5" style="56" customWidth="1"/>
    <col min="11279" max="11279" width="14.83203125" style="56" customWidth="1"/>
    <col min="11280" max="11281" width="11.5" style="56" customWidth="1"/>
    <col min="11282" max="11282" width="6.1640625" style="56" customWidth="1"/>
    <col min="11283" max="11283" width="22.83203125" style="56" customWidth="1"/>
    <col min="11284" max="11284" width="11.5" style="56" customWidth="1"/>
    <col min="11285" max="11285" width="13.83203125" style="56" customWidth="1"/>
    <col min="11286" max="11286" width="5.83203125" style="56" customWidth="1"/>
    <col min="11287" max="11287" width="15.5" style="56" customWidth="1"/>
    <col min="11288" max="11528" width="11.5" style="56"/>
    <col min="11529" max="11529" width="0.5" style="56" customWidth="1"/>
    <col min="11530" max="11530" width="3.1640625" style="56" customWidth="1"/>
    <col min="11531" max="11531" width="8.83203125" style="56" customWidth="1"/>
    <col min="11532" max="11532" width="14.83203125" style="56" customWidth="1"/>
    <col min="11533" max="11534" width="6.5" style="56" customWidth="1"/>
    <col min="11535" max="11535" width="14.83203125" style="56" customWidth="1"/>
    <col min="11536" max="11537" width="11.5" style="56" customWidth="1"/>
    <col min="11538" max="11538" width="6.1640625" style="56" customWidth="1"/>
    <col min="11539" max="11539" width="22.83203125" style="56" customWidth="1"/>
    <col min="11540" max="11540" width="11.5" style="56" customWidth="1"/>
    <col min="11541" max="11541" width="13.83203125" style="56" customWidth="1"/>
    <col min="11542" max="11542" width="5.83203125" style="56" customWidth="1"/>
    <col min="11543" max="11543" width="15.5" style="56" customWidth="1"/>
    <col min="11544" max="11784" width="11.5" style="56"/>
    <col min="11785" max="11785" width="0.5" style="56" customWidth="1"/>
    <col min="11786" max="11786" width="3.1640625" style="56" customWidth="1"/>
    <col min="11787" max="11787" width="8.83203125" style="56" customWidth="1"/>
    <col min="11788" max="11788" width="14.83203125" style="56" customWidth="1"/>
    <col min="11789" max="11790" width="6.5" style="56" customWidth="1"/>
    <col min="11791" max="11791" width="14.83203125" style="56" customWidth="1"/>
    <col min="11792" max="11793" width="11.5" style="56" customWidth="1"/>
    <col min="11794" max="11794" width="6.1640625" style="56" customWidth="1"/>
    <col min="11795" max="11795" width="22.83203125" style="56" customWidth="1"/>
    <col min="11796" max="11796" width="11.5" style="56" customWidth="1"/>
    <col min="11797" max="11797" width="13.83203125" style="56" customWidth="1"/>
    <col min="11798" max="11798" width="5.83203125" style="56" customWidth="1"/>
    <col min="11799" max="11799" width="15.5" style="56" customWidth="1"/>
    <col min="11800" max="12040" width="11.5" style="56"/>
    <col min="12041" max="12041" width="0.5" style="56" customWidth="1"/>
    <col min="12042" max="12042" width="3.1640625" style="56" customWidth="1"/>
    <col min="12043" max="12043" width="8.83203125" style="56" customWidth="1"/>
    <col min="12044" max="12044" width="14.83203125" style="56" customWidth="1"/>
    <col min="12045" max="12046" width="6.5" style="56" customWidth="1"/>
    <col min="12047" max="12047" width="14.83203125" style="56" customWidth="1"/>
    <col min="12048" max="12049" width="11.5" style="56" customWidth="1"/>
    <col min="12050" max="12050" width="6.1640625" style="56" customWidth="1"/>
    <col min="12051" max="12051" width="22.83203125" style="56" customWidth="1"/>
    <col min="12052" max="12052" width="11.5" style="56" customWidth="1"/>
    <col min="12053" max="12053" width="13.83203125" style="56" customWidth="1"/>
    <col min="12054" max="12054" width="5.83203125" style="56" customWidth="1"/>
    <col min="12055" max="12055" width="15.5" style="56" customWidth="1"/>
    <col min="12056" max="12296" width="11.5" style="56"/>
    <col min="12297" max="12297" width="0.5" style="56" customWidth="1"/>
    <col min="12298" max="12298" width="3.1640625" style="56" customWidth="1"/>
    <col min="12299" max="12299" width="8.83203125" style="56" customWidth="1"/>
    <col min="12300" max="12300" width="14.83203125" style="56" customWidth="1"/>
    <col min="12301" max="12302" width="6.5" style="56" customWidth="1"/>
    <col min="12303" max="12303" width="14.83203125" style="56" customWidth="1"/>
    <col min="12304" max="12305" width="11.5" style="56" customWidth="1"/>
    <col min="12306" max="12306" width="6.1640625" style="56" customWidth="1"/>
    <col min="12307" max="12307" width="22.83203125" style="56" customWidth="1"/>
    <col min="12308" max="12308" width="11.5" style="56" customWidth="1"/>
    <col min="12309" max="12309" width="13.83203125" style="56" customWidth="1"/>
    <col min="12310" max="12310" width="5.83203125" style="56" customWidth="1"/>
    <col min="12311" max="12311" width="15.5" style="56" customWidth="1"/>
    <col min="12312" max="12552" width="11.5" style="56"/>
    <col min="12553" max="12553" width="0.5" style="56" customWidth="1"/>
    <col min="12554" max="12554" width="3.1640625" style="56" customWidth="1"/>
    <col min="12555" max="12555" width="8.83203125" style="56" customWidth="1"/>
    <col min="12556" max="12556" width="14.83203125" style="56" customWidth="1"/>
    <col min="12557" max="12558" width="6.5" style="56" customWidth="1"/>
    <col min="12559" max="12559" width="14.83203125" style="56" customWidth="1"/>
    <col min="12560" max="12561" width="11.5" style="56" customWidth="1"/>
    <col min="12562" max="12562" width="6.1640625" style="56" customWidth="1"/>
    <col min="12563" max="12563" width="22.83203125" style="56" customWidth="1"/>
    <col min="12564" max="12564" width="11.5" style="56" customWidth="1"/>
    <col min="12565" max="12565" width="13.83203125" style="56" customWidth="1"/>
    <col min="12566" max="12566" width="5.83203125" style="56" customWidth="1"/>
    <col min="12567" max="12567" width="15.5" style="56" customWidth="1"/>
    <col min="12568" max="12808" width="11.5" style="56"/>
    <col min="12809" max="12809" width="0.5" style="56" customWidth="1"/>
    <col min="12810" max="12810" width="3.1640625" style="56" customWidth="1"/>
    <col min="12811" max="12811" width="8.83203125" style="56" customWidth="1"/>
    <col min="12812" max="12812" width="14.83203125" style="56" customWidth="1"/>
    <col min="12813" max="12814" width="6.5" style="56" customWidth="1"/>
    <col min="12815" max="12815" width="14.83203125" style="56" customWidth="1"/>
    <col min="12816" max="12817" width="11.5" style="56" customWidth="1"/>
    <col min="12818" max="12818" width="6.1640625" style="56" customWidth="1"/>
    <col min="12819" max="12819" width="22.83203125" style="56" customWidth="1"/>
    <col min="12820" max="12820" width="11.5" style="56" customWidth="1"/>
    <col min="12821" max="12821" width="13.83203125" style="56" customWidth="1"/>
    <col min="12822" max="12822" width="5.83203125" style="56" customWidth="1"/>
    <col min="12823" max="12823" width="15.5" style="56" customWidth="1"/>
    <col min="12824" max="13064" width="11.5" style="56"/>
    <col min="13065" max="13065" width="0.5" style="56" customWidth="1"/>
    <col min="13066" max="13066" width="3.1640625" style="56" customWidth="1"/>
    <col min="13067" max="13067" width="8.83203125" style="56" customWidth="1"/>
    <col min="13068" max="13068" width="14.83203125" style="56" customWidth="1"/>
    <col min="13069" max="13070" width="6.5" style="56" customWidth="1"/>
    <col min="13071" max="13071" width="14.83203125" style="56" customWidth="1"/>
    <col min="13072" max="13073" width="11.5" style="56" customWidth="1"/>
    <col min="13074" max="13074" width="6.1640625" style="56" customWidth="1"/>
    <col min="13075" max="13075" width="22.83203125" style="56" customWidth="1"/>
    <col min="13076" max="13076" width="11.5" style="56" customWidth="1"/>
    <col min="13077" max="13077" width="13.83203125" style="56" customWidth="1"/>
    <col min="13078" max="13078" width="5.83203125" style="56" customWidth="1"/>
    <col min="13079" max="13079" width="15.5" style="56" customWidth="1"/>
    <col min="13080" max="13320" width="11.5" style="56"/>
    <col min="13321" max="13321" width="0.5" style="56" customWidth="1"/>
    <col min="13322" max="13322" width="3.1640625" style="56" customWidth="1"/>
    <col min="13323" max="13323" width="8.83203125" style="56" customWidth="1"/>
    <col min="13324" max="13324" width="14.83203125" style="56" customWidth="1"/>
    <col min="13325" max="13326" width="6.5" style="56" customWidth="1"/>
    <col min="13327" max="13327" width="14.83203125" style="56" customWidth="1"/>
    <col min="13328" max="13329" width="11.5" style="56" customWidth="1"/>
    <col min="13330" max="13330" width="6.1640625" style="56" customWidth="1"/>
    <col min="13331" max="13331" width="22.83203125" style="56" customWidth="1"/>
    <col min="13332" max="13332" width="11.5" style="56" customWidth="1"/>
    <col min="13333" max="13333" width="13.83203125" style="56" customWidth="1"/>
    <col min="13334" max="13334" width="5.83203125" style="56" customWidth="1"/>
    <col min="13335" max="13335" width="15.5" style="56" customWidth="1"/>
    <col min="13336" max="13576" width="11.5" style="56"/>
    <col min="13577" max="13577" width="0.5" style="56" customWidth="1"/>
    <col min="13578" max="13578" width="3.1640625" style="56" customWidth="1"/>
    <col min="13579" max="13579" width="8.83203125" style="56" customWidth="1"/>
    <col min="13580" max="13580" width="14.83203125" style="56" customWidth="1"/>
    <col min="13581" max="13582" width="6.5" style="56" customWidth="1"/>
    <col min="13583" max="13583" width="14.83203125" style="56" customWidth="1"/>
    <col min="13584" max="13585" width="11.5" style="56" customWidth="1"/>
    <col min="13586" max="13586" width="6.1640625" style="56" customWidth="1"/>
    <col min="13587" max="13587" width="22.83203125" style="56" customWidth="1"/>
    <col min="13588" max="13588" width="11.5" style="56" customWidth="1"/>
    <col min="13589" max="13589" width="13.83203125" style="56" customWidth="1"/>
    <col min="13590" max="13590" width="5.83203125" style="56" customWidth="1"/>
    <col min="13591" max="13591" width="15.5" style="56" customWidth="1"/>
    <col min="13592" max="13832" width="11.5" style="56"/>
    <col min="13833" max="13833" width="0.5" style="56" customWidth="1"/>
    <col min="13834" max="13834" width="3.1640625" style="56" customWidth="1"/>
    <col min="13835" max="13835" width="8.83203125" style="56" customWidth="1"/>
    <col min="13836" max="13836" width="14.83203125" style="56" customWidth="1"/>
    <col min="13837" max="13838" width="6.5" style="56" customWidth="1"/>
    <col min="13839" max="13839" width="14.83203125" style="56" customWidth="1"/>
    <col min="13840" max="13841" width="11.5" style="56" customWidth="1"/>
    <col min="13842" max="13842" width="6.1640625" style="56" customWidth="1"/>
    <col min="13843" max="13843" width="22.83203125" style="56" customWidth="1"/>
    <col min="13844" max="13844" width="11.5" style="56" customWidth="1"/>
    <col min="13845" max="13845" width="13.83203125" style="56" customWidth="1"/>
    <col min="13846" max="13846" width="5.83203125" style="56" customWidth="1"/>
    <col min="13847" max="13847" width="15.5" style="56" customWidth="1"/>
    <col min="13848" max="14088" width="11.5" style="56"/>
    <col min="14089" max="14089" width="0.5" style="56" customWidth="1"/>
    <col min="14090" max="14090" width="3.1640625" style="56" customWidth="1"/>
    <col min="14091" max="14091" width="8.83203125" style="56" customWidth="1"/>
    <col min="14092" max="14092" width="14.83203125" style="56" customWidth="1"/>
    <col min="14093" max="14094" width="6.5" style="56" customWidth="1"/>
    <col min="14095" max="14095" width="14.83203125" style="56" customWidth="1"/>
    <col min="14096" max="14097" width="11.5" style="56" customWidth="1"/>
    <col min="14098" max="14098" width="6.1640625" style="56" customWidth="1"/>
    <col min="14099" max="14099" width="22.83203125" style="56" customWidth="1"/>
    <col min="14100" max="14100" width="11.5" style="56" customWidth="1"/>
    <col min="14101" max="14101" width="13.83203125" style="56" customWidth="1"/>
    <col min="14102" max="14102" width="5.83203125" style="56" customWidth="1"/>
    <col min="14103" max="14103" width="15.5" style="56" customWidth="1"/>
    <col min="14104" max="14344" width="11.5" style="56"/>
    <col min="14345" max="14345" width="0.5" style="56" customWidth="1"/>
    <col min="14346" max="14346" width="3.1640625" style="56" customWidth="1"/>
    <col min="14347" max="14347" width="8.83203125" style="56" customWidth="1"/>
    <col min="14348" max="14348" width="14.83203125" style="56" customWidth="1"/>
    <col min="14349" max="14350" width="6.5" style="56" customWidth="1"/>
    <col min="14351" max="14351" width="14.83203125" style="56" customWidth="1"/>
    <col min="14352" max="14353" width="11.5" style="56" customWidth="1"/>
    <col min="14354" max="14354" width="6.1640625" style="56" customWidth="1"/>
    <col min="14355" max="14355" width="22.83203125" style="56" customWidth="1"/>
    <col min="14356" max="14356" width="11.5" style="56" customWidth="1"/>
    <col min="14357" max="14357" width="13.83203125" style="56" customWidth="1"/>
    <col min="14358" max="14358" width="5.83203125" style="56" customWidth="1"/>
    <col min="14359" max="14359" width="15.5" style="56" customWidth="1"/>
    <col min="14360" max="14600" width="11.5" style="56"/>
    <col min="14601" max="14601" width="0.5" style="56" customWidth="1"/>
    <col min="14602" max="14602" width="3.1640625" style="56" customWidth="1"/>
    <col min="14603" max="14603" width="8.83203125" style="56" customWidth="1"/>
    <col min="14604" max="14604" width="14.83203125" style="56" customWidth="1"/>
    <col min="14605" max="14606" width="6.5" style="56" customWidth="1"/>
    <col min="14607" max="14607" width="14.83203125" style="56" customWidth="1"/>
    <col min="14608" max="14609" width="11.5" style="56" customWidth="1"/>
    <col min="14610" max="14610" width="6.1640625" style="56" customWidth="1"/>
    <col min="14611" max="14611" width="22.83203125" style="56" customWidth="1"/>
    <col min="14612" max="14612" width="11.5" style="56" customWidth="1"/>
    <col min="14613" max="14613" width="13.83203125" style="56" customWidth="1"/>
    <col min="14614" max="14614" width="5.83203125" style="56" customWidth="1"/>
    <col min="14615" max="14615" width="15.5" style="56" customWidth="1"/>
    <col min="14616" max="14856" width="11.5" style="56"/>
    <col min="14857" max="14857" width="0.5" style="56" customWidth="1"/>
    <col min="14858" max="14858" width="3.1640625" style="56" customWidth="1"/>
    <col min="14859" max="14859" width="8.83203125" style="56" customWidth="1"/>
    <col min="14860" max="14860" width="14.83203125" style="56" customWidth="1"/>
    <col min="14861" max="14862" width="6.5" style="56" customWidth="1"/>
    <col min="14863" max="14863" width="14.83203125" style="56" customWidth="1"/>
    <col min="14864" max="14865" width="11.5" style="56" customWidth="1"/>
    <col min="14866" max="14866" width="6.1640625" style="56" customWidth="1"/>
    <col min="14867" max="14867" width="22.83203125" style="56" customWidth="1"/>
    <col min="14868" max="14868" width="11.5" style="56" customWidth="1"/>
    <col min="14869" max="14869" width="13.83203125" style="56" customWidth="1"/>
    <col min="14870" max="14870" width="5.83203125" style="56" customWidth="1"/>
    <col min="14871" max="14871" width="15.5" style="56" customWidth="1"/>
    <col min="14872" max="15112" width="11.5" style="56"/>
    <col min="15113" max="15113" width="0.5" style="56" customWidth="1"/>
    <col min="15114" max="15114" width="3.1640625" style="56" customWidth="1"/>
    <col min="15115" max="15115" width="8.83203125" style="56" customWidth="1"/>
    <col min="15116" max="15116" width="14.83203125" style="56" customWidth="1"/>
    <col min="15117" max="15118" width="6.5" style="56" customWidth="1"/>
    <col min="15119" max="15119" width="14.83203125" style="56" customWidth="1"/>
    <col min="15120" max="15121" width="11.5" style="56" customWidth="1"/>
    <col min="15122" max="15122" width="6.1640625" style="56" customWidth="1"/>
    <col min="15123" max="15123" width="22.83203125" style="56" customWidth="1"/>
    <col min="15124" max="15124" width="11.5" style="56" customWidth="1"/>
    <col min="15125" max="15125" width="13.83203125" style="56" customWidth="1"/>
    <col min="15126" max="15126" width="5.83203125" style="56" customWidth="1"/>
    <col min="15127" max="15127" width="15.5" style="56" customWidth="1"/>
    <col min="15128" max="15368" width="11.5" style="56"/>
    <col min="15369" max="15369" width="0.5" style="56" customWidth="1"/>
    <col min="15370" max="15370" width="3.1640625" style="56" customWidth="1"/>
    <col min="15371" max="15371" width="8.83203125" style="56" customWidth="1"/>
    <col min="15372" max="15372" width="14.83203125" style="56" customWidth="1"/>
    <col min="15373" max="15374" width="6.5" style="56" customWidth="1"/>
    <col min="15375" max="15375" width="14.83203125" style="56" customWidth="1"/>
    <col min="15376" max="15377" width="11.5" style="56" customWidth="1"/>
    <col min="15378" max="15378" width="6.1640625" style="56" customWidth="1"/>
    <col min="15379" max="15379" width="22.83203125" style="56" customWidth="1"/>
    <col min="15380" max="15380" width="11.5" style="56" customWidth="1"/>
    <col min="15381" max="15381" width="13.83203125" style="56" customWidth="1"/>
    <col min="15382" max="15382" width="5.83203125" style="56" customWidth="1"/>
    <col min="15383" max="15383" width="15.5" style="56" customWidth="1"/>
    <col min="15384" max="15624" width="11.5" style="56"/>
    <col min="15625" max="15625" width="0.5" style="56" customWidth="1"/>
    <col min="15626" max="15626" width="3.1640625" style="56" customWidth="1"/>
    <col min="15627" max="15627" width="8.83203125" style="56" customWidth="1"/>
    <col min="15628" max="15628" width="14.83203125" style="56" customWidth="1"/>
    <col min="15629" max="15630" width="6.5" style="56" customWidth="1"/>
    <col min="15631" max="15631" width="14.83203125" style="56" customWidth="1"/>
    <col min="15632" max="15633" width="11.5" style="56" customWidth="1"/>
    <col min="15634" max="15634" width="6.1640625" style="56" customWidth="1"/>
    <col min="15635" max="15635" width="22.83203125" style="56" customWidth="1"/>
    <col min="15636" max="15636" width="11.5" style="56" customWidth="1"/>
    <col min="15637" max="15637" width="13.83203125" style="56" customWidth="1"/>
    <col min="15638" max="15638" width="5.83203125" style="56" customWidth="1"/>
    <col min="15639" max="15639" width="15.5" style="56" customWidth="1"/>
    <col min="15640" max="15880" width="11.5" style="56"/>
    <col min="15881" max="15881" width="0.5" style="56" customWidth="1"/>
    <col min="15882" max="15882" width="3.1640625" style="56" customWidth="1"/>
    <col min="15883" max="15883" width="8.83203125" style="56" customWidth="1"/>
    <col min="15884" max="15884" width="14.83203125" style="56" customWidth="1"/>
    <col min="15885" max="15886" width="6.5" style="56" customWidth="1"/>
    <col min="15887" max="15887" width="14.83203125" style="56" customWidth="1"/>
    <col min="15888" max="15889" width="11.5" style="56" customWidth="1"/>
    <col min="15890" max="15890" width="6.1640625" style="56" customWidth="1"/>
    <col min="15891" max="15891" width="22.83203125" style="56" customWidth="1"/>
    <col min="15892" max="15892" width="11.5" style="56" customWidth="1"/>
    <col min="15893" max="15893" width="13.83203125" style="56" customWidth="1"/>
    <col min="15894" max="15894" width="5.83203125" style="56" customWidth="1"/>
    <col min="15895" max="15895" width="15.5" style="56" customWidth="1"/>
    <col min="15896" max="16136" width="11.5" style="56"/>
    <col min="16137" max="16137" width="0.5" style="56" customWidth="1"/>
    <col min="16138" max="16138" width="3.1640625" style="56" customWidth="1"/>
    <col min="16139" max="16139" width="8.83203125" style="56" customWidth="1"/>
    <col min="16140" max="16140" width="14.83203125" style="56" customWidth="1"/>
    <col min="16141" max="16142" width="6.5" style="56" customWidth="1"/>
    <col min="16143" max="16143" width="14.83203125" style="56" customWidth="1"/>
    <col min="16144" max="16145" width="11.5" style="56" customWidth="1"/>
    <col min="16146" max="16146" width="6.1640625" style="56" customWidth="1"/>
    <col min="16147" max="16147" width="22.83203125" style="56" customWidth="1"/>
    <col min="16148" max="16148" width="11.5" style="56" customWidth="1"/>
    <col min="16149" max="16149" width="13.83203125" style="56" customWidth="1"/>
    <col min="16150" max="16150" width="5.83203125" style="56" customWidth="1"/>
    <col min="16151" max="16151" width="15.5" style="56" customWidth="1"/>
    <col min="16152" max="16384" width="11.5" style="56"/>
  </cols>
  <sheetData>
    <row r="1" spans="1:34" ht="8" customHeight="1">
      <c r="Q1" s="91"/>
      <c r="R1" s="91"/>
    </row>
    <row r="2" spans="1:34" ht="5" customHeight="1" thickBot="1">
      <c r="Q2" s="89"/>
      <c r="R2" s="89"/>
    </row>
    <row r="3" spans="1:34" s="57" customFormat="1" ht="17" customHeight="1">
      <c r="A3" s="472"/>
      <c r="B3" s="576" t="s">
        <v>115</v>
      </c>
      <c r="C3" s="577"/>
      <c r="D3" s="577"/>
      <c r="E3" s="577"/>
      <c r="F3" s="577"/>
      <c r="G3" s="577"/>
      <c r="H3" s="577"/>
      <c r="I3" s="577"/>
      <c r="J3" s="578"/>
      <c r="K3" s="95"/>
      <c r="L3" s="58"/>
      <c r="M3" s="58"/>
      <c r="N3" s="92"/>
      <c r="O3" s="93"/>
      <c r="Q3" s="90"/>
      <c r="R3" s="90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301"/>
    </row>
    <row r="4" spans="1:34" ht="6" customHeight="1" thickBot="1">
      <c r="B4" s="579"/>
      <c r="C4" s="580"/>
      <c r="D4" s="580"/>
      <c r="E4" s="580"/>
      <c r="F4" s="580"/>
      <c r="G4" s="580"/>
      <c r="H4" s="580"/>
      <c r="I4" s="580"/>
      <c r="J4" s="581"/>
      <c r="K4" s="95"/>
      <c r="L4" s="58"/>
      <c r="M4" s="58"/>
      <c r="N4" s="93"/>
      <c r="O4" s="93"/>
      <c r="P4" s="58"/>
      <c r="Q4" s="59"/>
      <c r="R4" s="59"/>
    </row>
    <row r="5" spans="1:34" ht="15" customHeight="1">
      <c r="B5" s="582" t="s">
        <v>283</v>
      </c>
      <c r="C5" s="583"/>
      <c r="D5" s="583"/>
      <c r="E5" s="583"/>
      <c r="F5" s="583" t="s">
        <v>27</v>
      </c>
      <c r="G5" s="583"/>
      <c r="H5" s="583"/>
      <c r="I5" s="583"/>
      <c r="J5" s="589"/>
      <c r="K5" s="584" t="s">
        <v>142</v>
      </c>
      <c r="L5" s="585"/>
      <c r="M5" s="585"/>
      <c r="N5" s="585" t="s">
        <v>365</v>
      </c>
      <c r="O5" s="585"/>
      <c r="P5" s="588"/>
      <c r="Q5" s="345" t="s">
        <v>143</v>
      </c>
      <c r="R5" s="92"/>
    </row>
    <row r="6" spans="1:34" ht="17" customHeight="1" thickBot="1">
      <c r="B6" s="592" t="str">
        <f>IF(Start!$D$4="","Dr. Max Mustermann",Start!$D$4)</f>
        <v>Dr. Max Mustermann</v>
      </c>
      <c r="C6" s="593"/>
      <c r="D6" s="593"/>
      <c r="E6" s="593"/>
      <c r="F6" s="593" t="str">
        <f>Start!$D$8</f>
        <v>Ärztin/Arzt in Ausbildung_BSO1994</v>
      </c>
      <c r="G6" s="593"/>
      <c r="H6" s="593"/>
      <c r="I6" s="593"/>
      <c r="J6" s="594"/>
      <c r="K6" s="590">
        <f>IF(SUM(N14:O43,L13:L43,AA51:AD51,AA52:AB52)=0,Datenblatt!J103,SUM(N14:O43,L13:L43,AA51:AD51,AA52:AB52,AH51:AH52))</f>
        <v>211.20000000000002</v>
      </c>
      <c r="L6" s="591"/>
      <c r="M6" s="591"/>
      <c r="N6" s="586">
        <f>COUNTIF(D14:E43,"ND")+COUNTIF(D14:E43,"ND12,5")</f>
        <v>0</v>
      </c>
      <c r="O6" s="586"/>
      <c r="P6" s="587"/>
      <c r="Q6" s="346">
        <f>IF(OR(Start!$D$10="",Start!$E$10=""),"",IF(Start!$D$8=Gehalt!$K$32,VLOOKUP($H$8,Gehalt!$A$4:$I$22,3,FALSE),IF(Start!$D$8=Gehalt!$K$33,VLOOKUP($H$8,Gehalt!$A$4:$I$22,4,FALSE),IF(Start!$D$8=Gehalt!$K$34,VLOOKUP($H$8,Gehalt!$A$4:$I$22,5,FALSE),IF(Start!$D$8=Gehalt!$K$35,VLOOKUP($H$8,Gehalt!$A$4:$I$22,6,FALSE),IF(Start!$D$8=Gehalt!$K$36,VLOOKUP($H$8,Gehalt!$A$4:$I$22,7,FALSE),IF(Start!$D$8=Gehalt!$K$37,VLOOKUP($H$8,Gehalt!$A$4:$I$22,6,FALSE),IF(Start!$D$8=Gehalt!$K$38,VLOOKUP($H$8,Gehalt!$A$4:$I$22,8,FALSE),IF(Start!$D$8=Gehalt!$K$39,VLOOKUP($H$8,Gehalt!$A$4:$I$22,8,FALSE),IF(Start!$D$8=Gehalt!$K$40,VLOOKUP($H$8,Gehalt!$A$4:$I$22,9,FALSE),IF(Start!$D$8=Gehalt!$K$41,VLOOKUP($H$8,Gehalt!$A$4:$I$22,9,FALSE))))))))))))</f>
        <v>5365.31</v>
      </c>
      <c r="R6" s="92"/>
      <c r="S6" s="92"/>
    </row>
    <row r="7" spans="1:34" ht="15" customHeight="1">
      <c r="B7" s="582" t="s">
        <v>26</v>
      </c>
      <c r="C7" s="583"/>
      <c r="D7" s="108" t="s">
        <v>25</v>
      </c>
      <c r="E7" s="583" t="s">
        <v>43</v>
      </c>
      <c r="F7" s="583"/>
      <c r="G7" s="583"/>
      <c r="H7" s="583" t="s">
        <v>91</v>
      </c>
      <c r="I7" s="583"/>
      <c r="J7" s="589"/>
      <c r="K7" s="584" t="s">
        <v>80</v>
      </c>
      <c r="L7" s="585"/>
      <c r="M7" s="585"/>
      <c r="N7" s="585" t="s">
        <v>81</v>
      </c>
      <c r="O7" s="585"/>
      <c r="P7" s="588"/>
      <c r="Q7" s="345" t="s">
        <v>144</v>
      </c>
      <c r="R7" s="191"/>
      <c r="S7" s="101"/>
      <c r="U7" s="242"/>
      <c r="AA7" s="242"/>
    </row>
    <row r="8" spans="1:34" s="59" customFormat="1" ht="17" customHeight="1" thickBot="1">
      <c r="A8" s="471"/>
      <c r="B8" s="595">
        <f>DATE($D$8,4,1)</f>
        <v>45383</v>
      </c>
      <c r="C8" s="596"/>
      <c r="D8" s="349">
        <f>Start!$D$2</f>
        <v>2024</v>
      </c>
      <c r="E8" s="601">
        <f>($K$6)/((VLOOKUP($B$8,Datenblatt!$A$100:$G$112,7,FALSE)*0.2)-(0.2*$D$59))</f>
        <v>48</v>
      </c>
      <c r="F8" s="601"/>
      <c r="G8" s="601"/>
      <c r="H8" s="602">
        <f>IF(OR(Start!$D$10="",Start!$E$10=""),"",IF(($C$14&lt;Start!$D$10),Start!$E$10,VLOOKUP(Start!$E$10,Gehalt!$A$4:$B$22,2,FALSE)))</f>
        <v>4</v>
      </c>
      <c r="I8" s="602"/>
      <c r="J8" s="603"/>
      <c r="K8" s="597">
        <f>SUM(M13:M43)</f>
        <v>0</v>
      </c>
      <c r="L8" s="598"/>
      <c r="M8" s="598"/>
      <c r="N8" s="591">
        <f>VLOOKUP($B$8,Datenblatt!A100:F112,6,FALSE)</f>
        <v>168</v>
      </c>
      <c r="O8" s="591"/>
      <c r="P8" s="599"/>
      <c r="Q8" s="346">
        <f ca="1">IF($L$50="","",SUM($L$50:$L$59))</f>
        <v>10730.62</v>
      </c>
      <c r="R8" s="100"/>
      <c r="S8" s="101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302"/>
    </row>
    <row r="9" spans="1:34" s="60" customFormat="1" ht="4.25" customHeight="1">
      <c r="A9" s="473"/>
      <c r="B9" s="559" t="s">
        <v>116</v>
      </c>
      <c r="C9" s="560"/>
      <c r="D9" s="565" t="s">
        <v>124</v>
      </c>
      <c r="E9" s="565" t="s">
        <v>174</v>
      </c>
      <c r="F9" s="568" t="s">
        <v>79</v>
      </c>
      <c r="G9" s="569"/>
      <c r="H9" s="568" t="s">
        <v>109</v>
      </c>
      <c r="I9" s="569"/>
      <c r="J9" s="565" t="s">
        <v>117</v>
      </c>
      <c r="K9" s="556" t="s">
        <v>82</v>
      </c>
      <c r="L9" s="556" t="s">
        <v>130</v>
      </c>
      <c r="M9" s="556" t="s">
        <v>114</v>
      </c>
      <c r="N9" s="556" t="s">
        <v>79</v>
      </c>
      <c r="O9" s="556" t="s">
        <v>109</v>
      </c>
      <c r="P9" s="553" t="s">
        <v>134</v>
      </c>
      <c r="Q9" s="535" t="s">
        <v>125</v>
      </c>
      <c r="R9" s="537" t="s">
        <v>173</v>
      </c>
      <c r="S9" s="573" t="s">
        <v>165</v>
      </c>
      <c r="T9" s="233"/>
      <c r="U9" s="234"/>
      <c r="V9" s="234"/>
      <c r="W9" s="234"/>
      <c r="X9" s="234"/>
      <c r="Y9" s="234"/>
      <c r="Z9" s="233"/>
      <c r="AA9" s="234"/>
      <c r="AB9" s="234"/>
      <c r="AC9" s="234"/>
      <c r="AD9" s="234"/>
      <c r="AE9" s="234"/>
      <c r="AF9" s="234"/>
      <c r="AG9" s="234"/>
      <c r="AH9" s="301"/>
    </row>
    <row r="10" spans="1:34" ht="14.5" customHeight="1">
      <c r="B10" s="561"/>
      <c r="C10" s="562"/>
      <c r="D10" s="566"/>
      <c r="E10" s="566"/>
      <c r="F10" s="570"/>
      <c r="G10" s="571"/>
      <c r="H10" s="570"/>
      <c r="I10" s="571"/>
      <c r="J10" s="566"/>
      <c r="K10" s="557"/>
      <c r="L10" s="557"/>
      <c r="M10" s="557"/>
      <c r="N10" s="557"/>
      <c r="O10" s="557"/>
      <c r="P10" s="554"/>
      <c r="Q10" s="535"/>
      <c r="R10" s="535"/>
      <c r="S10" s="574"/>
      <c r="T10" s="233"/>
      <c r="U10" s="572" t="s">
        <v>108</v>
      </c>
      <c r="V10" s="572"/>
      <c r="W10" s="572"/>
      <c r="X10" s="572"/>
      <c r="Y10" s="572"/>
      <c r="Z10" s="249"/>
      <c r="AA10" s="572" t="s">
        <v>168</v>
      </c>
      <c r="AB10" s="572"/>
      <c r="AC10" s="572"/>
      <c r="AD10" s="572"/>
      <c r="AE10" s="572"/>
      <c r="AF10" s="552" t="s">
        <v>232</v>
      </c>
      <c r="AG10" s="552" t="s">
        <v>233</v>
      </c>
    </row>
    <row r="11" spans="1:34" ht="13" customHeight="1" thickBot="1">
      <c r="B11" s="563"/>
      <c r="C11" s="564"/>
      <c r="D11" s="567"/>
      <c r="E11" s="567"/>
      <c r="F11" s="97" t="s">
        <v>14</v>
      </c>
      <c r="G11" s="98" t="s">
        <v>15</v>
      </c>
      <c r="H11" s="97" t="s">
        <v>14</v>
      </c>
      <c r="I11" s="98" t="s">
        <v>15</v>
      </c>
      <c r="J11" s="567"/>
      <c r="K11" s="558"/>
      <c r="L11" s="558"/>
      <c r="M11" s="558"/>
      <c r="N11" s="558"/>
      <c r="O11" s="558"/>
      <c r="P11" s="555"/>
      <c r="Q11" s="536"/>
      <c r="R11" s="536"/>
      <c r="S11" s="575"/>
      <c r="T11" s="109"/>
      <c r="U11" s="245" t="s">
        <v>105</v>
      </c>
      <c r="V11" s="246" t="s">
        <v>106</v>
      </c>
      <c r="W11" s="247" t="s">
        <v>107</v>
      </c>
      <c r="X11" s="246" t="s">
        <v>176</v>
      </c>
      <c r="Y11" s="246" t="s">
        <v>175</v>
      </c>
      <c r="Z11" s="248"/>
      <c r="AA11" s="245" t="s">
        <v>105</v>
      </c>
      <c r="AB11" s="246" t="s">
        <v>106</v>
      </c>
      <c r="AC11" s="246" t="s">
        <v>176</v>
      </c>
      <c r="AD11" s="246" t="s">
        <v>175</v>
      </c>
      <c r="AE11" s="245" t="s">
        <v>229</v>
      </c>
      <c r="AF11" s="552"/>
      <c r="AG11" s="552"/>
      <c r="AH11" s="246" t="s">
        <v>262</v>
      </c>
    </row>
    <row r="12" spans="1:34" ht="0.25" customHeight="1">
      <c r="B12" s="61"/>
      <c r="C12" s="61"/>
      <c r="D12" s="62"/>
      <c r="E12" s="65"/>
      <c r="F12" s="63"/>
      <c r="G12" s="63"/>
      <c r="H12" s="63"/>
      <c r="I12" s="63"/>
      <c r="J12" s="64"/>
      <c r="K12" s="64"/>
      <c r="L12" s="65"/>
      <c r="M12" s="65"/>
      <c r="N12" s="65"/>
      <c r="O12" s="65"/>
      <c r="P12" s="65"/>
      <c r="S12" s="96"/>
      <c r="T12" s="235"/>
      <c r="U12" s="236"/>
      <c r="V12" s="236"/>
      <c r="Z12" s="236"/>
      <c r="AA12" s="236"/>
      <c r="AB12" s="236"/>
      <c r="AH12" s="303"/>
    </row>
    <row r="13" spans="1:34" ht="13" customHeight="1">
      <c r="A13" s="89" t="str">
        <f>IF(ISERROR(VLOOKUP(C13,Datenblatt!$B$84:$B$97,1,FALSE)),"","Ft")</f>
        <v>Ft</v>
      </c>
      <c r="B13" s="397">
        <f t="shared" ref="B13:B43" si="0">C13</f>
        <v>45382</v>
      </c>
      <c r="C13" s="149">
        <f>C14-1</f>
        <v>45382</v>
      </c>
      <c r="D13" s="153" t="str">
        <f>IF(März!D$44="","",März!D$44)</f>
        <v/>
      </c>
      <c r="E13" s="150" t="str">
        <f>IF(März!E$44="","",März!E$44)</f>
        <v/>
      </c>
      <c r="F13" s="150"/>
      <c r="G13" s="150"/>
      <c r="H13" s="150"/>
      <c r="I13" s="150"/>
      <c r="J13" s="252"/>
      <c r="K13" s="252"/>
      <c r="L13" s="170" t="str">
        <f>IF(D13="ND",9,IF(D13="ND12,5",8.5,""))</f>
        <v/>
      </c>
      <c r="M13" s="170" t="str">
        <f>IF(D13="ND",9,IF(D13="ND12,5",8.5,""))</f>
        <v/>
      </c>
      <c r="N13" s="600" t="str">
        <f>IF(OR(D13="ND",D13="ND12,5"),"Übertrag Vormonat","")</f>
        <v/>
      </c>
      <c r="O13" s="600"/>
      <c r="P13" s="193"/>
      <c r="Q13" s="174"/>
      <c r="R13" s="151"/>
      <c r="S13" s="152"/>
      <c r="T13" s="205"/>
      <c r="U13" s="206"/>
      <c r="V13" s="207"/>
      <c r="W13" s="207"/>
      <c r="X13" s="253"/>
      <c r="Y13" s="253"/>
      <c r="Z13" s="111" t="str">
        <f t="shared" ref="Z13" si="1">IF(E13="ND",25,IF(E13="ND12,5",12.5,""))</f>
        <v/>
      </c>
      <c r="AA13" s="206"/>
      <c r="AB13" s="208"/>
      <c r="AC13" s="208"/>
      <c r="AD13" s="208"/>
      <c r="AE13" s="208"/>
      <c r="AF13" s="112"/>
      <c r="AG13" s="112"/>
      <c r="AH13" s="304"/>
    </row>
    <row r="14" spans="1:34" ht="13" customHeight="1">
      <c r="A14" s="89" t="str">
        <f>IF(ISERROR(VLOOKUP(C14,Datenblatt!$B$84:$B$97,1,FALSE)),"","Ft")</f>
        <v>Ft</v>
      </c>
      <c r="B14" s="84">
        <f t="shared" si="0"/>
        <v>45383</v>
      </c>
      <c r="C14" s="85">
        <f>DATE($D$8,MONTH(B$8),1)</f>
        <v>45383</v>
      </c>
      <c r="D14" s="67"/>
      <c r="E14" s="67"/>
      <c r="F14" s="68"/>
      <c r="G14" s="69"/>
      <c r="H14" s="68"/>
      <c r="I14" s="68"/>
      <c r="J14" s="99"/>
      <c r="K14" s="21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20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10" t="str">
        <f>IF(D14="","",IF(E13="ND",VLOOKUP(D14,Datenblatt!$A$2:$C$31,3,FALSE)-1,IF(E13="ND12,5",VLOOKUP(D14,Datenblatt!$A$2:$C$31,3,FALSE)-0.5,VLOOKUP(D14,Datenblatt!$A$2:$C$31,3,FALSE))))</f>
        <v/>
      </c>
      <c r="N14" s="211" t="str">
        <f t="shared" ref="N14:N42" si="2">IF(AND(F14="",G14=""),"",IF(OR(F14&gt;G14,AND(F14="",G14&gt;0),F14=G14),"ungültig",IF(OR(WEEKDAY(B14,2)=7,A14="Ft"),0,(G14-F14)*24)))</f>
        <v/>
      </c>
      <c r="O14" s="211">
        <f t="shared" ref="O14:O42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86">
        <f>IF(D14="",IF($P$47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$47="Freizeit",(-M14-J14+IF(ISNUMBER(N14),(N14*1.5),0)+IF(ISNUMBER(O14),(O14*2),0)+IF(OR(E14="ND",E14="ND12,5"),2,0)),(-M14-J14)),IF($P$47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103" t="str">
        <f>IF(D14="","",VLOOKUP(D14,Datenblatt!$A$2:$D$31,4,FALSE))</f>
        <v/>
      </c>
      <c r="R14" s="104" t="str">
        <f>IF(E14="","",VLOOKUP(E14,Datenblatt!$E$2:$G$28,2,FALSE))</f>
        <v/>
      </c>
      <c r="S14" s="105"/>
      <c r="T14" s="111">
        <f>IF(K14="",0,K14)</f>
        <v>0</v>
      </c>
      <c r="U14" s="110"/>
      <c r="V14" s="112"/>
      <c r="W14" s="113"/>
      <c r="X14" s="254"/>
      <c r="Y14" s="254"/>
      <c r="Z14" s="111" t="str">
        <f>IF(E14="ND",25,IF(E14="ND12,5",12.5,""))</f>
        <v/>
      </c>
      <c r="AA14" s="214">
        <f>IF(E13="ND",IF(ISERROR(MATCH(D14,Datenblatt!$L$2:$L$18,0)),3,2),IF(E13="ND12,5",IF(ISERROR(MATCH(D14,Datenblatt!$L$2:$L$18,0)),2.5,2),0))</f>
        <v>0</v>
      </c>
      <c r="AB14" s="214">
        <f>IF((IF(E14="ND",14-IF(D14="",0,VLOOKUP(D14,Datenblatt!$L$2:$M$30,2,FALSE)),IF(E14="ND12,5",2,0)))&lt;0,0,(IF(E14="ND",14-IF(D14="",0,VLOOKUP(D14,Datenblatt!$L$2:$M$30,2,FALSE)),IF(E14="ND12,5",2,0))))</f>
        <v>0</v>
      </c>
      <c r="AC14" s="214">
        <f>IF(OR(E14="ND",E14="ND12,5"),2,0)</f>
        <v>0</v>
      </c>
      <c r="AD14" s="214">
        <f>IF(OR(E13="ND",E13="ND12,5"),6,0)</f>
        <v>0</v>
      </c>
      <c r="AE14" s="214">
        <f>IF(AND(E13="ND",AA14&gt;=2),1,IF(AND(E13="ND12,5",AA14&gt;=2),0.5,0))</f>
        <v>0</v>
      </c>
      <c r="AF14" s="112">
        <f>IF(OR(D14="ND",D14="ND12,5"),2-X14,0)</f>
        <v>0</v>
      </c>
      <c r="AG14" s="112">
        <f>IF(OR(D13="ND",D13="ND12,5"),6-Y14,0)</f>
        <v>0</v>
      </c>
      <c r="AH14" s="112">
        <f>IF(E14="",0,VLOOKUP(E14,Datenblatt!$E$2:$G$28,3,FALSE))</f>
        <v>0</v>
      </c>
    </row>
    <row r="15" spans="1:34" ht="13" customHeight="1">
      <c r="A15" s="89" t="str">
        <f>IF(ISERROR(VLOOKUP(C15,Datenblatt!$B$84:$B$97,1,FALSE)),"","Ft")</f>
        <v/>
      </c>
      <c r="B15" s="84">
        <f t="shared" si="0"/>
        <v>45384</v>
      </c>
      <c r="C15" s="86">
        <f t="shared" ref="C15:C41" si="4">C14+1</f>
        <v>45384</v>
      </c>
      <c r="D15" s="67"/>
      <c r="E15" s="67"/>
      <c r="F15" s="68"/>
      <c r="G15" s="69"/>
      <c r="H15" s="68"/>
      <c r="I15" s="68"/>
      <c r="J15" s="99"/>
      <c r="K15" s="21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20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10" t="str">
        <f>IF(D15="","",IF(E14="ND",VLOOKUP(D15,Datenblatt!$A$2:$C$31,3,FALSE)-1,IF(E14="ND12,5",VLOOKUP(D15,Datenblatt!$A$2:$C$31,3,FALSE)-0.5,VLOOKUP(D15,Datenblatt!$A$2:$C$31,3,FALSE))))</f>
        <v/>
      </c>
      <c r="N15" s="211" t="str">
        <f t="shared" si="2"/>
        <v/>
      </c>
      <c r="O15" s="211" t="str">
        <f t="shared" si="3"/>
        <v/>
      </c>
      <c r="P15" s="186">
        <f>IF(D15="",IF($P$47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$47="Freizeit",(-M15-J15+IF(ISNUMBER(N15),(N15*1.5),0)+IF(ISNUMBER(O15),(O15*2),0)+IF(OR(E15="ND",E15="ND12,5"),2,0)),(-M15-J15)),IF($P$47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103" t="str">
        <f>IF(D15="","",VLOOKUP(D15,Datenblatt!$A$2:$D$31,4,FALSE))</f>
        <v/>
      </c>
      <c r="R15" s="104" t="str">
        <f>IF(E15="","",VLOOKUP(E15,Datenblatt!$E$2:$G$28,2,FALSE))</f>
        <v/>
      </c>
      <c r="S15" s="105"/>
      <c r="T15" s="111">
        <f t="shared" ref="T15:T32" si="5">IF(K15="",0,K15)</f>
        <v>0</v>
      </c>
      <c r="U15" s="114">
        <f t="array" ref="U15">IF(T14=0,0,IF(AND((ROW(T14)=MATCH(TRUE,($T$1:$T$43)&gt;0,0)),(D14="ND")),IF(T14&lt;3,T14,3),IF(AND(ROW(T14)=MATCH(TRUE,($T$1:$T$43)&gt;0,0),D14="ND12,5"),IF(T14&lt;2.5,T14,2.5),IF(D14="ND12,5",2.5,(T14-V14-W14)))))</f>
        <v>0</v>
      </c>
      <c r="V15" s="112">
        <f t="array" ref="V15">IF(T15=0,0,IF(AND((ROW(T15)=MATCH(TRUE,($T$1:$T$43)&gt;0,0)),(D15="ND")),IF(AND(T15&gt;11,T15&lt;=25),T15-11,0),IF(AND(ROW(T15)=MATCH(TRUE,($T$1:$T$43)&gt;0,0),D15="ND12,5"),IF(AND(T15&gt;10.5,T15&lt;=12.5),T15-10.5,0),IF(D15="ND12,5",2,IF(T15&lt;14,T15,14)))))</f>
        <v>0</v>
      </c>
      <c r="W15" s="112">
        <f t="array" ref="W15">IF(T15=0,0,IF(AND((ROW(T15)=MATCH(TRUE,($T$1:$T$43)&gt;0,0)),(D15="ND")),IF(AND(T15&gt;3,T15&lt;11),T15-3,IF(T15&gt;=11,8,0)),IF(AND((ROW(T15)=MATCH(TRUE,($T$1:$T$43)&gt;0,0)),(D15="ND12,5")),IF(AND(T15&gt;2.5,T15&lt;10.5),T15-2.5,IF(T15&gt;=10.5,8,0)),IF(D15="ND12,5",8,IF(AND(T15&gt;14,T15&lt;22),(T15-V15),IF(T15&gt;=22,8,0))))))</f>
        <v>0</v>
      </c>
      <c r="X15" s="254">
        <f t="array" ref="X15">IF(T15=0,0,IF((AND((ROW(T15)=MATCH(TRUE,($T$1:$T$43)&gt;0,0)))),IF(W15&gt;=6,W15-6,0),IF(W15&gt;=2,2,W15)))</f>
        <v>0</v>
      </c>
      <c r="Y15" s="254">
        <f t="array" ref="Y15">IF(T14=0,0,(IF((AND((ROW(T14)=MATCH(TRUE,($T$1:$T$43)&gt;0,0)))),IF(W14&gt;=6,6,W14),IF(W14&gt;=2,W14-2,0))))</f>
        <v>0</v>
      </c>
      <c r="Z15" s="111" t="str">
        <f t="shared" ref="Z15:Z43" si="6">IF(E15="ND",25,IF(E15="ND12,5",12.5,""))</f>
        <v/>
      </c>
      <c r="AA15" s="214">
        <f>IF(E14="ND",IF(ISERROR(MATCH(D15,Datenblatt!$L$2:$L$18,0)),3,2),IF(E14="ND12,5",IF(ISERROR(MATCH(D15,Datenblatt!$L$2:$L$18,0)),2.5,2),0))</f>
        <v>0</v>
      </c>
      <c r="AB15" s="214">
        <f>IF((IF(E15="ND",14-IF(D15="",0,VLOOKUP(D15,Datenblatt!$L$2:$M$30,2,FALSE)),IF(E15="ND12,5",2,0)))&lt;0,0,(IF(E15="ND",14-IF(D15="",0,VLOOKUP(D15,Datenblatt!$L$2:$M$30,2,FALSE)),IF(E15="ND12,5",2,0))))</f>
        <v>0</v>
      </c>
      <c r="AC15" s="214">
        <f t="shared" ref="AC15:AC43" si="7">IF(OR(E15="ND",E15="ND12,5"),2,0)</f>
        <v>0</v>
      </c>
      <c r="AD15" s="214">
        <f t="shared" ref="AD15:AD43" si="8">IF(OR(E14="ND",E14="ND12,5"),6,0)</f>
        <v>0</v>
      </c>
      <c r="AE15" s="214">
        <f t="shared" ref="AE15:AE43" si="9">IF(AND(E14="ND",AA15&gt;=2),1,IF(AND(E14="ND12,5",AA15&gt;=2),0.5,0))</f>
        <v>0</v>
      </c>
      <c r="AF15" s="112">
        <f t="shared" ref="AF15:AF43" si="10">IF(OR(D15="ND",D15="ND12,5"),2-X15,0)</f>
        <v>0</v>
      </c>
      <c r="AG15" s="112">
        <f t="shared" ref="AG15:AG43" si="11">IF(OR(D14="ND",D14="ND12,5"),6-Y15,0)</f>
        <v>0</v>
      </c>
      <c r="AH15" s="112">
        <f>IF(E15="",0,VLOOKUP(E15,Datenblatt!$E$2:$G$28,3,FALSE))</f>
        <v>0</v>
      </c>
    </row>
    <row r="16" spans="1:34" ht="13" customHeight="1">
      <c r="A16" s="89" t="str">
        <f>IF(ISERROR(VLOOKUP(C16,Datenblatt!$B$84:$B$97,1,FALSE)),"","Ft")</f>
        <v/>
      </c>
      <c r="B16" s="84">
        <f t="shared" si="0"/>
        <v>45385</v>
      </c>
      <c r="C16" s="86">
        <f t="shared" si="4"/>
        <v>45385</v>
      </c>
      <c r="D16" s="67"/>
      <c r="E16" s="67"/>
      <c r="F16" s="68"/>
      <c r="G16" s="69"/>
      <c r="H16" s="68"/>
      <c r="I16" s="68"/>
      <c r="J16" s="99"/>
      <c r="K16" s="21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20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10" t="str">
        <f>IF(D16="","",IF(E15="ND",VLOOKUP(D16,Datenblatt!$A$2:$C$31,3,FALSE)-1,IF(E15="ND12,5",VLOOKUP(D16,Datenblatt!$A$2:$C$31,3,FALSE)-0.5,VLOOKUP(D16,Datenblatt!$A$2:$C$31,3,FALSE))))</f>
        <v/>
      </c>
      <c r="N16" s="211" t="str">
        <f t="shared" si="2"/>
        <v/>
      </c>
      <c r="O16" s="211" t="str">
        <f t="shared" si="3"/>
        <v/>
      </c>
      <c r="P16" s="186">
        <f>IF(D16="",IF($P$47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$47="Freizeit",(-M16-J16+IF(ISNUMBER(N16),(N16*1.5),0)+IF(ISNUMBER(O16),(O16*2),0)+IF(OR(E16="ND",E16="ND12,5"),2,0)),(-M16-J16)),IF($P$47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103" t="str">
        <f>IF(D16="","",VLOOKUP(D16,Datenblatt!$A$2:$D$31,4,FALSE))</f>
        <v/>
      </c>
      <c r="R16" s="104" t="str">
        <f>IF(E16="","",VLOOKUP(E16,Datenblatt!$E$2:$G$28,2,FALSE))</f>
        <v/>
      </c>
      <c r="S16" s="105"/>
      <c r="T16" s="111">
        <f t="shared" si="5"/>
        <v>0</v>
      </c>
      <c r="U16" s="114">
        <f t="array" ref="U16">IF(T15=0,0,IF(AND((ROW(T15)=MATCH(TRUE,($T$1:$T$43)&gt;0,0)),(D15="ND")),IF(T15&lt;3,T15,3),IF(AND(ROW(T15)=MATCH(TRUE,($T$1:$T$43)&gt;0,0),D15="ND12,5"),IF(T15&lt;2.5,T15,2.5),IF(D15="ND12,5",2.5,(T15-V15-W15)))))</f>
        <v>0</v>
      </c>
      <c r="V16" s="112">
        <f t="array" ref="V16">IF(T16=0,0,IF(AND((ROW(T16)=MATCH(TRUE,($T$1:$T$43)&gt;0,0)),(D16="ND")),IF(AND(T16&gt;11,T16&lt;=25),T16-11,0),IF(AND(ROW(T16)=MATCH(TRUE,($T$1:$T$43)&gt;0,0),D16="ND12,5"),IF(AND(T16&gt;10.5,T16&lt;=12.5),T16-10.5,0),IF(D16="ND12,5",2,IF(T16&lt;14,T16,14)))))</f>
        <v>0</v>
      </c>
      <c r="W16" s="112">
        <f t="array" ref="W16">IF(T16=0,0,IF(AND((ROW(T16)=MATCH(TRUE,($T$1:$T$43)&gt;0,0)),(D16="ND")),IF(AND(T16&gt;3,T16&lt;11),T16-3,IF(T16&gt;=11,8,0)),IF(AND((ROW(T16)=MATCH(TRUE,($T$1:$T$43)&gt;0,0)),(D16="ND12,5")),IF(AND(T16&gt;2.5,T16&lt;10.5),T16-2.5,IF(T16&gt;=10.5,8,0)),IF(D16="ND12,5",8,IF(AND(T16&gt;14,T16&lt;22),(T16-V16),IF(T16&gt;=22,8,0))))))</f>
        <v>0</v>
      </c>
      <c r="X16" s="254">
        <f t="array" ref="X16">IF(T16=0,0,IF((AND((ROW(T16)=MATCH(TRUE,($T$1:$T$43)&gt;0,0)))),IF(W16&gt;=6,W16-6,0),IF(W16&gt;=2,2,W16)))</f>
        <v>0</v>
      </c>
      <c r="Y16" s="254">
        <f t="array" ref="Y16">IF(T15=0,0,(IF((AND((ROW(T15)=MATCH(TRUE,($T$1:$T$43)&gt;0,0)))),IF(W15&gt;=6,6,W15),IF(W15&gt;=2,W15-2,0))))</f>
        <v>0</v>
      </c>
      <c r="Z16" s="111" t="str">
        <f t="shared" si="6"/>
        <v/>
      </c>
      <c r="AA16" s="214">
        <f>IF(E15="ND",IF(ISERROR(MATCH(D16,Datenblatt!$L$2:$L$18,0)),3,2),IF(E15="ND12,5",IF(ISERROR(MATCH(D16,Datenblatt!$L$2:$L$18,0)),2.5,2),0))</f>
        <v>0</v>
      </c>
      <c r="AB16" s="214">
        <f>IF((IF(E16="ND",14-IF(D16="",0,VLOOKUP(D16,Datenblatt!$L$2:$M$30,2,FALSE)),IF(E16="ND12,5",2,0)))&lt;0,0,(IF(E16="ND",14-IF(D16="",0,VLOOKUP(D16,Datenblatt!$L$2:$M$30,2,FALSE)),IF(E16="ND12,5",2,0))))</f>
        <v>0</v>
      </c>
      <c r="AC16" s="214">
        <f t="shared" si="7"/>
        <v>0</v>
      </c>
      <c r="AD16" s="214">
        <f t="shared" si="8"/>
        <v>0</v>
      </c>
      <c r="AE16" s="214">
        <f t="shared" si="9"/>
        <v>0</v>
      </c>
      <c r="AF16" s="112">
        <f t="shared" si="10"/>
        <v>0</v>
      </c>
      <c r="AG16" s="112">
        <f t="shared" si="11"/>
        <v>0</v>
      </c>
      <c r="AH16" s="112">
        <f>IF(E16="",0,VLOOKUP(E16,Datenblatt!$E$2:$G$28,3,FALSE))</f>
        <v>0</v>
      </c>
    </row>
    <row r="17" spans="1:34" ht="13" customHeight="1">
      <c r="A17" s="89" t="str">
        <f>IF(ISERROR(VLOOKUP(C17,Datenblatt!$B$84:$B$97,1,FALSE)),"","Ft")</f>
        <v/>
      </c>
      <c r="B17" s="84">
        <f t="shared" si="0"/>
        <v>45386</v>
      </c>
      <c r="C17" s="86">
        <f t="shared" si="4"/>
        <v>45386</v>
      </c>
      <c r="D17" s="67"/>
      <c r="E17" s="67"/>
      <c r="F17" s="68"/>
      <c r="G17" s="69"/>
      <c r="H17" s="68"/>
      <c r="I17" s="68"/>
      <c r="J17" s="99"/>
      <c r="K17" s="21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20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10" t="str">
        <f>IF(D17="","",IF(E16="ND",VLOOKUP(D17,Datenblatt!$A$2:$C$31,3,FALSE)-1,IF(E16="ND12,5",VLOOKUP(D17,Datenblatt!$A$2:$C$31,3,FALSE)-0.5,VLOOKUP(D17,Datenblatt!$A$2:$C$31,3,FALSE))))</f>
        <v/>
      </c>
      <c r="N17" s="211" t="str">
        <f t="shared" si="2"/>
        <v/>
      </c>
      <c r="O17" s="211" t="str">
        <f t="shared" si="3"/>
        <v/>
      </c>
      <c r="P17" s="186">
        <f>IF(D17="",IF($P$47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$47="Freizeit",(-M17-J17+IF(ISNUMBER(N17),(N17*1.5),0)+IF(ISNUMBER(O17),(O17*2),0)+IF(OR(E17="ND",E17="ND12,5"),2,0)),(-M17-J17)),IF($P$47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103" t="str">
        <f>IF(D17="","",VLOOKUP(D17,Datenblatt!$A$2:$D$31,4,FALSE))</f>
        <v/>
      </c>
      <c r="R17" s="104" t="str">
        <f>IF(E17="","",VLOOKUP(E17,Datenblatt!$E$2:$G$28,2,FALSE))</f>
        <v/>
      </c>
      <c r="S17" s="105"/>
      <c r="T17" s="111">
        <f t="shared" si="5"/>
        <v>0</v>
      </c>
      <c r="U17" s="114">
        <f t="array" ref="U17">IF(T16=0,0,IF(AND((ROW(T16)=MATCH(TRUE,($T$1:$T$43)&gt;0,0)),(D16="ND")),IF(T16&lt;3,T16,3),IF(AND(ROW(T16)=MATCH(TRUE,($T$1:$T$43)&gt;0,0),D16="ND12,5"),IF(T16&lt;2.5,T16,2.5),IF(D16="ND12,5",2.5,(T16-V16-W16)))))</f>
        <v>0</v>
      </c>
      <c r="V17" s="112">
        <f t="array" ref="V17">IF(T17=0,0,IF(AND((ROW(T17)=MATCH(TRUE,($T$1:$T$43)&gt;0,0)),(D17="ND")),IF(AND(T17&gt;11,T17&lt;=25),T17-11,0),IF(AND(ROW(T17)=MATCH(TRUE,($T$1:$T$43)&gt;0,0),D17="ND12,5"),IF(AND(T17&gt;10.5,T17&lt;=12.5),T17-10.5,0),IF(D17="ND12,5",2,IF(T17&lt;14,T17,14)))))</f>
        <v>0</v>
      </c>
      <c r="W17" s="112">
        <f t="array" ref="W17">IF(T17=0,0,IF(AND((ROW(T17)=MATCH(TRUE,($T$1:$T$43)&gt;0,0)),(D17="ND")),IF(AND(T17&gt;3,T17&lt;11),T17-3,IF(T17&gt;=11,8,0)),IF(AND((ROW(T17)=MATCH(TRUE,($T$1:$T$43)&gt;0,0)),(D17="ND12,5")),IF(AND(T17&gt;2.5,T17&lt;10.5),T17-2.5,IF(T17&gt;=10.5,8,0)),IF(D17="ND12,5",8,IF(AND(T17&gt;14,T17&lt;22),(T17-V17),IF(T17&gt;=22,8,0))))))</f>
        <v>0</v>
      </c>
      <c r="X17" s="254">
        <f t="array" ref="X17">IF(T17=0,0,IF((AND((ROW(T17)=MATCH(TRUE,($T$1:$T$43)&gt;0,0)))),IF(W17&gt;=6,W17-6,0),IF(W17&gt;=2,2,W17)))</f>
        <v>0</v>
      </c>
      <c r="Y17" s="254">
        <f t="array" ref="Y17">IF(T16=0,0,(IF((AND((ROW(T16)=MATCH(TRUE,($T$1:$T$43)&gt;0,0)))),IF(W16&gt;=6,6,W16),IF(W16&gt;=2,W16-2,0))))</f>
        <v>0</v>
      </c>
      <c r="Z17" s="111" t="str">
        <f t="shared" si="6"/>
        <v/>
      </c>
      <c r="AA17" s="214">
        <f>IF(E16="ND",IF(ISERROR(MATCH(D17,Datenblatt!$L$2:$L$18,0)),3,2),IF(E16="ND12,5",IF(ISERROR(MATCH(D17,Datenblatt!$L$2:$L$18,0)),2.5,2),0))</f>
        <v>0</v>
      </c>
      <c r="AB17" s="214">
        <f>IF((IF(E17="ND",14-IF(D17="",0,VLOOKUP(D17,Datenblatt!$L$2:$M$30,2,FALSE)),IF(E17="ND12,5",2,0)))&lt;0,0,(IF(E17="ND",14-IF(D17="",0,VLOOKUP(D17,Datenblatt!$L$2:$M$30,2,FALSE)),IF(E17="ND12,5",2,0))))</f>
        <v>0</v>
      </c>
      <c r="AC17" s="214">
        <f t="shared" si="7"/>
        <v>0</v>
      </c>
      <c r="AD17" s="214">
        <f t="shared" si="8"/>
        <v>0</v>
      </c>
      <c r="AE17" s="214">
        <f t="shared" si="9"/>
        <v>0</v>
      </c>
      <c r="AF17" s="112">
        <f t="shared" si="10"/>
        <v>0</v>
      </c>
      <c r="AG17" s="112">
        <f t="shared" si="11"/>
        <v>0</v>
      </c>
      <c r="AH17" s="112">
        <f>IF(E17="",0,VLOOKUP(E17,Datenblatt!$E$2:$G$28,3,FALSE))</f>
        <v>0</v>
      </c>
    </row>
    <row r="18" spans="1:34" ht="13" customHeight="1">
      <c r="A18" s="89" t="str">
        <f>IF(ISERROR(VLOOKUP(C18,Datenblatt!$B$84:$B$97,1,FALSE)),"","Ft")</f>
        <v/>
      </c>
      <c r="B18" s="84">
        <f t="shared" si="0"/>
        <v>45387</v>
      </c>
      <c r="C18" s="86">
        <f t="shared" si="4"/>
        <v>45387</v>
      </c>
      <c r="D18" s="67"/>
      <c r="E18" s="67"/>
      <c r="F18" s="68"/>
      <c r="G18" s="69"/>
      <c r="H18" s="68"/>
      <c r="I18" s="68"/>
      <c r="J18" s="99"/>
      <c r="K18" s="21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20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10" t="str">
        <f>IF(D18="","",IF(E17="ND",VLOOKUP(D18,Datenblatt!$A$2:$C$31,3,FALSE)-1,IF(E17="ND12,5",VLOOKUP(D18,Datenblatt!$A$2:$C$31,3,FALSE)-0.5,VLOOKUP(D18,Datenblatt!$A$2:$C$31,3,FALSE))))</f>
        <v/>
      </c>
      <c r="N18" s="211" t="str">
        <f t="shared" si="2"/>
        <v/>
      </c>
      <c r="O18" s="211" t="str">
        <f t="shared" si="3"/>
        <v/>
      </c>
      <c r="P18" s="186">
        <f>IF(D18="",IF($P$47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$47="Freizeit",(-M18-J18+IF(ISNUMBER(N18),(N18*1.5),0)+IF(ISNUMBER(O18),(O18*2),0)+IF(OR(E18="ND",E18="ND12,5"),2,0)),(-M18-J18)),IF($P$47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103" t="str">
        <f>IF(D18="","",VLOOKUP(D18,Datenblatt!$A$2:$D$31,4,FALSE))</f>
        <v/>
      </c>
      <c r="R18" s="104" t="str">
        <f>IF(E18="","",VLOOKUP(E18,Datenblatt!$E$2:$G$28,2,FALSE))</f>
        <v/>
      </c>
      <c r="S18" s="105"/>
      <c r="T18" s="111">
        <f t="shared" si="5"/>
        <v>0</v>
      </c>
      <c r="U18" s="114">
        <f t="array" ref="U18">IF(T17=0,0,IF(AND((ROW(T17)=MATCH(TRUE,($T$1:$T$43)&gt;0,0)),(D17="ND")),IF(T17&lt;3,T17,3),IF(AND(ROW(T17)=MATCH(TRUE,($T$1:$T$43)&gt;0,0),D17="ND12,5"),IF(T17&lt;2.5,T17,2.5),IF(D17="ND12,5",2.5,(T17-V17-W17)))))</f>
        <v>0</v>
      </c>
      <c r="V18" s="112">
        <f t="array" ref="V18">IF(T18=0,0,IF(AND((ROW(T18)=MATCH(TRUE,($T$1:$T$43)&gt;0,0)),(D18="ND")),IF(AND(T18&gt;11,T18&lt;=25),T18-11,0),IF(AND(ROW(T18)=MATCH(TRUE,($T$1:$T$43)&gt;0,0),D18="ND12,5"),IF(AND(T18&gt;10.5,T18&lt;=12.5),T18-10.5,0),IF(D18="ND12,5",2,IF(T18&lt;14,T18,14)))))</f>
        <v>0</v>
      </c>
      <c r="W18" s="112">
        <f t="array" ref="W18">IF(T18=0,0,IF(AND((ROW(T18)=MATCH(TRUE,($T$1:$T$43)&gt;0,0)),(D18="ND")),IF(AND(T18&gt;3,T18&lt;11),T18-3,IF(T18&gt;=11,8,0)),IF(AND((ROW(T18)=MATCH(TRUE,($T$1:$T$43)&gt;0,0)),(D18="ND12,5")),IF(AND(T18&gt;2.5,T18&lt;10.5),T18-2.5,IF(T18&gt;=10.5,8,0)),IF(D18="ND12,5",8,IF(AND(T18&gt;14,T18&lt;22),(T18-V18),IF(T18&gt;=22,8,0))))))</f>
        <v>0</v>
      </c>
      <c r="X18" s="254">
        <f t="array" ref="X18">IF(T18=0,0,IF((AND((ROW(T18)=MATCH(TRUE,($T$1:$T$43)&gt;0,0)))),IF(W18&gt;=6,W18-6,0),IF(W18&gt;=2,2,W18)))</f>
        <v>0</v>
      </c>
      <c r="Y18" s="254">
        <f t="array" ref="Y18">IF(T17=0,0,(IF((AND((ROW(T17)=MATCH(TRUE,($T$1:$T$43)&gt;0,0)))),IF(W17&gt;=6,6,W17),IF(W17&gt;=2,W17-2,0))))</f>
        <v>0</v>
      </c>
      <c r="Z18" s="111" t="str">
        <f t="shared" si="6"/>
        <v/>
      </c>
      <c r="AA18" s="214">
        <f>IF(E17="ND",IF(ISERROR(MATCH(D18,Datenblatt!$L$2:$L$18,0)),3,2),IF(E17="ND12,5",IF(ISERROR(MATCH(D18,Datenblatt!$L$2:$L$18,0)),2.5,2),0))</f>
        <v>0</v>
      </c>
      <c r="AB18" s="214">
        <f>IF((IF(E18="ND",14-IF(D18="",0,VLOOKUP(D18,Datenblatt!$L$2:$M$30,2,FALSE)),IF(E18="ND12,5",2,0)))&lt;0,0,(IF(E18="ND",14-IF(D18="",0,VLOOKUP(D18,Datenblatt!$L$2:$M$30,2,FALSE)),IF(E18="ND12,5",2,0))))</f>
        <v>0</v>
      </c>
      <c r="AC18" s="214">
        <f t="shared" si="7"/>
        <v>0</v>
      </c>
      <c r="AD18" s="214">
        <f t="shared" si="8"/>
        <v>0</v>
      </c>
      <c r="AE18" s="214">
        <f t="shared" si="9"/>
        <v>0</v>
      </c>
      <c r="AF18" s="112">
        <f t="shared" si="10"/>
        <v>0</v>
      </c>
      <c r="AG18" s="112">
        <f t="shared" si="11"/>
        <v>0</v>
      </c>
      <c r="AH18" s="112">
        <f>IF(E18="",0,VLOOKUP(E18,Datenblatt!$E$2:$G$28,3,FALSE))</f>
        <v>0</v>
      </c>
    </row>
    <row r="19" spans="1:34" ht="13" customHeight="1">
      <c r="A19" s="89" t="str">
        <f>IF(ISERROR(VLOOKUP(C19,Datenblatt!$B$84:$B$97,1,FALSE)),"","Ft")</f>
        <v/>
      </c>
      <c r="B19" s="84">
        <f t="shared" si="0"/>
        <v>45388</v>
      </c>
      <c r="C19" s="86">
        <f t="shared" si="4"/>
        <v>45388</v>
      </c>
      <c r="D19" s="67"/>
      <c r="E19" s="67"/>
      <c r="F19" s="68"/>
      <c r="G19" s="69"/>
      <c r="H19" s="68"/>
      <c r="I19" s="68"/>
      <c r="J19" s="99"/>
      <c r="K19" s="21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20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10" t="str">
        <f>IF(D19="","",IF(E18="ND",VLOOKUP(D19,Datenblatt!$A$2:$C$31,3,FALSE)-1,IF(E18="ND12,5",VLOOKUP(D19,Datenblatt!$A$2:$C$31,3,FALSE)-0.5,VLOOKUP(D19,Datenblatt!$A$2:$C$31,3,FALSE))))</f>
        <v/>
      </c>
      <c r="N19" s="211" t="str">
        <f t="shared" si="2"/>
        <v/>
      </c>
      <c r="O19" s="211" t="str">
        <f t="shared" si="3"/>
        <v/>
      </c>
      <c r="P19" s="186">
        <f>IF(D19="",IF($P$47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$47="Freizeit",(-M19-J19+IF(ISNUMBER(N19),(N19*1.5),0)+IF(ISNUMBER(O19),(O19*2),0)+IF(OR(E19="ND",E19="ND12,5"),2,0)),(-M19-J19)),IF($P$47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103" t="str">
        <f>IF(D19="","",VLOOKUP(D19,Datenblatt!$A$2:$D$31,4,FALSE))</f>
        <v/>
      </c>
      <c r="R19" s="104" t="str">
        <f>IF(E19="","",VLOOKUP(E19,Datenblatt!$E$2:$G$28,2,FALSE))</f>
        <v/>
      </c>
      <c r="S19" s="105"/>
      <c r="T19" s="111">
        <f t="shared" si="5"/>
        <v>0</v>
      </c>
      <c r="U19" s="114">
        <f t="array" ref="U19">IF(T18=0,0,IF(AND((ROW(T18)=MATCH(TRUE,($T$1:$T$43)&gt;0,0)),(D18="ND")),IF(T18&lt;3,T18,3),IF(AND(ROW(T18)=MATCH(TRUE,($T$1:$T$43)&gt;0,0),D18="ND12,5"),IF(T18&lt;2.5,T18,2.5),IF(D18="ND12,5",2.5,(T18-V18-W18)))))</f>
        <v>0</v>
      </c>
      <c r="V19" s="112">
        <f t="array" ref="V19">IF(T19=0,0,IF(AND((ROW(T19)=MATCH(TRUE,($T$1:$T$43)&gt;0,0)),(D19="ND")),IF(AND(T19&gt;11,T19&lt;=25),T19-11,0),IF(AND(ROW(T19)=MATCH(TRUE,($T$1:$T$43)&gt;0,0),D19="ND12,5"),IF(AND(T19&gt;10.5,T19&lt;=12.5),T19-10.5,0),IF(D19="ND12,5",2,IF(T19&lt;14,T19,14)))))</f>
        <v>0</v>
      </c>
      <c r="W19" s="112">
        <f t="array" ref="W19">IF(T19=0,0,IF(AND((ROW(T19)=MATCH(TRUE,($T$1:$T$43)&gt;0,0)),(D19="ND")),IF(AND(T19&gt;3,T19&lt;11),T19-3,IF(T19&gt;=11,8,0)),IF(AND((ROW(T19)=MATCH(TRUE,($T$1:$T$43)&gt;0,0)),(D19="ND12,5")),IF(AND(T19&gt;2.5,T19&lt;10.5),T19-2.5,IF(T19&gt;=10.5,8,0)),IF(D19="ND12,5",8,IF(AND(T19&gt;14,T19&lt;22),(T19-V19),IF(T19&gt;=22,8,0))))))</f>
        <v>0</v>
      </c>
      <c r="X19" s="254">
        <f t="array" ref="X19">IF(T19=0,0,IF((AND((ROW(T19)=MATCH(TRUE,($T$1:$T$43)&gt;0,0)))),IF(W19&gt;=6,W19-6,0),IF(W19&gt;=2,2,W19)))</f>
        <v>0</v>
      </c>
      <c r="Y19" s="254">
        <f t="array" ref="Y19">IF(T18=0,0,(IF((AND((ROW(T18)=MATCH(TRUE,($T$1:$T$43)&gt;0,0)))),IF(W18&gt;=6,6,W18),IF(W18&gt;=2,W18-2,0))))</f>
        <v>0</v>
      </c>
      <c r="Z19" s="111" t="str">
        <f t="shared" si="6"/>
        <v/>
      </c>
      <c r="AA19" s="214">
        <f>IF(E18="ND",IF(ISERROR(MATCH(D19,Datenblatt!$L$2:$L$18,0)),3,2),IF(E18="ND12,5",IF(ISERROR(MATCH(D19,Datenblatt!$L$2:$L$18,0)),2.5,2),0))</f>
        <v>0</v>
      </c>
      <c r="AB19" s="214">
        <f>IF((IF(E19="ND",14-IF(D19="",0,VLOOKUP(D19,Datenblatt!$L$2:$M$30,2,FALSE)),IF(E19="ND12,5",2,0)))&lt;0,0,(IF(E19="ND",14-IF(D19="",0,VLOOKUP(D19,Datenblatt!$L$2:$M$30,2,FALSE)),IF(E19="ND12,5",2,0))))</f>
        <v>0</v>
      </c>
      <c r="AC19" s="214">
        <f t="shared" si="7"/>
        <v>0</v>
      </c>
      <c r="AD19" s="214">
        <f t="shared" si="8"/>
        <v>0</v>
      </c>
      <c r="AE19" s="214">
        <f t="shared" si="9"/>
        <v>0</v>
      </c>
      <c r="AF19" s="112">
        <f t="shared" si="10"/>
        <v>0</v>
      </c>
      <c r="AG19" s="112">
        <f t="shared" si="11"/>
        <v>0</v>
      </c>
      <c r="AH19" s="112">
        <f>IF(E19="",0,VLOOKUP(E19,Datenblatt!$E$2:$G$28,3,FALSE))</f>
        <v>0</v>
      </c>
    </row>
    <row r="20" spans="1:34" ht="13" customHeight="1">
      <c r="A20" s="89" t="str">
        <f>IF(ISERROR(VLOOKUP(C20,Datenblatt!$B$84:$B$97,1,FALSE)),"","Ft")</f>
        <v/>
      </c>
      <c r="B20" s="84">
        <f t="shared" si="0"/>
        <v>45389</v>
      </c>
      <c r="C20" s="86">
        <f t="shared" si="4"/>
        <v>45389</v>
      </c>
      <c r="D20" s="67"/>
      <c r="E20" s="67"/>
      <c r="F20" s="68"/>
      <c r="G20" s="69"/>
      <c r="H20" s="68"/>
      <c r="I20" s="68"/>
      <c r="J20" s="99"/>
      <c r="K20" s="21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20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10" t="str">
        <f>IF(D20="","",IF(E19="ND",VLOOKUP(D20,Datenblatt!$A$2:$C$31,3,FALSE)-1,IF(E19="ND12,5",VLOOKUP(D20,Datenblatt!$A$2:$C$31,3,FALSE)-0.5,VLOOKUP(D20,Datenblatt!$A$2:$C$31,3,FALSE))))</f>
        <v/>
      </c>
      <c r="N20" s="211" t="str">
        <f t="shared" si="2"/>
        <v/>
      </c>
      <c r="O20" s="211">
        <f t="shared" si="3"/>
        <v>0</v>
      </c>
      <c r="P20" s="186">
        <f>IF(D20="",IF($P$47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$47="Freizeit",(-M20-J20+IF(ISNUMBER(N20),(N20*1.5),0)+IF(ISNUMBER(O20),(O20*2),0)+IF(OR(E20="ND",E20="ND12,5"),2,0)),(-M20-J20)),IF($P$47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103" t="str">
        <f>IF(D20="","",VLOOKUP(D20,Datenblatt!$A$2:$D$31,4,FALSE))</f>
        <v/>
      </c>
      <c r="R20" s="104" t="str">
        <f>IF(E20="","",VLOOKUP(E20,Datenblatt!$E$2:$G$28,2,FALSE))</f>
        <v/>
      </c>
      <c r="S20" s="105"/>
      <c r="T20" s="111">
        <f t="shared" si="5"/>
        <v>0</v>
      </c>
      <c r="U20" s="114">
        <f t="array" ref="U20">IF(T19=0,0,IF(AND((ROW(T19)=MATCH(TRUE,($T$1:$T$43)&gt;0,0)),(D19="ND")),IF(T19&lt;3,T19,3),IF(AND(ROW(T19)=MATCH(TRUE,($T$1:$T$43)&gt;0,0),D19="ND12,5"),IF(T19&lt;2.5,T19,2.5),IF(D19="ND12,5",2.5,(T19-V19-W19)))))</f>
        <v>0</v>
      </c>
      <c r="V20" s="112">
        <f t="array" ref="V20">IF(T20=0,0,IF(AND((ROW(T20)=MATCH(TRUE,($T$1:$T$43)&gt;0,0)),(D20="ND")),IF(AND(T20&gt;11,T20&lt;=25),T20-11,0),IF(AND(ROW(T20)=MATCH(TRUE,($T$1:$T$43)&gt;0,0),D20="ND12,5"),IF(AND(T20&gt;10.5,T20&lt;=12.5),T20-10.5,0),IF(D20="ND12,5",2,IF(T20&lt;14,T20,14)))))</f>
        <v>0</v>
      </c>
      <c r="W20" s="112">
        <f t="array" ref="W20">IF(T20=0,0,IF(AND((ROW(T20)=MATCH(TRUE,($T$1:$T$43)&gt;0,0)),(D20="ND")),IF(AND(T20&gt;3,T20&lt;11),T20-3,IF(T20&gt;=11,8,0)),IF(AND((ROW(T20)=MATCH(TRUE,($T$1:$T$43)&gt;0,0)),(D20="ND12,5")),IF(AND(T20&gt;2.5,T20&lt;10.5),T20-2.5,IF(T20&gt;=10.5,8,0)),IF(D20="ND12,5",8,IF(AND(T20&gt;14,T20&lt;22),(T20-V20),IF(T20&gt;=22,8,0))))))</f>
        <v>0</v>
      </c>
      <c r="X20" s="254">
        <f t="array" ref="X20">IF(T20=0,0,IF((AND((ROW(T20)=MATCH(TRUE,($T$1:$T$43)&gt;0,0)))),IF(W20&gt;=6,W20-6,0),IF(W20&gt;=2,2,W20)))</f>
        <v>0</v>
      </c>
      <c r="Y20" s="254">
        <f t="array" ref="Y20">IF(T19=0,0,(IF((AND((ROW(T19)=MATCH(TRUE,($T$1:$T$43)&gt;0,0)))),IF(W19&gt;=6,6,W19),IF(W19&gt;=2,W19-2,0))))</f>
        <v>0</v>
      </c>
      <c r="Z20" s="111" t="str">
        <f t="shared" si="6"/>
        <v/>
      </c>
      <c r="AA20" s="214">
        <f>IF(E19="ND",IF(ISERROR(MATCH(D20,Datenblatt!$L$2:$L$18,0)),3,2),IF(E19="ND12,5",IF(ISERROR(MATCH(D20,Datenblatt!$L$2:$L$18,0)),2.5,2),0))</f>
        <v>0</v>
      </c>
      <c r="AB20" s="214">
        <f>IF((IF(E20="ND",14-IF(D20="",0,VLOOKUP(D20,Datenblatt!$L$2:$M$30,2,FALSE)),IF(E20="ND12,5",2,0)))&lt;0,0,(IF(E20="ND",14-IF(D20="",0,VLOOKUP(D20,Datenblatt!$L$2:$M$30,2,FALSE)),IF(E20="ND12,5",2,0))))</f>
        <v>0</v>
      </c>
      <c r="AC20" s="214">
        <f t="shared" si="7"/>
        <v>0</v>
      </c>
      <c r="AD20" s="214">
        <f t="shared" si="8"/>
        <v>0</v>
      </c>
      <c r="AE20" s="214">
        <f t="shared" si="9"/>
        <v>0</v>
      </c>
      <c r="AF20" s="112">
        <f t="shared" si="10"/>
        <v>0</v>
      </c>
      <c r="AG20" s="112">
        <f t="shared" si="11"/>
        <v>0</v>
      </c>
      <c r="AH20" s="112">
        <f>IF(E20="",0,VLOOKUP(E20,Datenblatt!$E$2:$G$28,3,FALSE))</f>
        <v>0</v>
      </c>
    </row>
    <row r="21" spans="1:34" ht="13" customHeight="1">
      <c r="A21" s="89" t="str">
        <f>IF(ISERROR(VLOOKUP(C21,Datenblatt!$B$84:$B$97,1,FALSE)),"","Ft")</f>
        <v/>
      </c>
      <c r="B21" s="84">
        <f t="shared" si="0"/>
        <v>45390</v>
      </c>
      <c r="C21" s="86">
        <f t="shared" si="4"/>
        <v>45390</v>
      </c>
      <c r="D21" s="67"/>
      <c r="E21" s="67"/>
      <c r="F21" s="68"/>
      <c r="G21" s="69"/>
      <c r="H21" s="68"/>
      <c r="I21" s="68"/>
      <c r="J21" s="99"/>
      <c r="K21" s="21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20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10" t="str">
        <f>IF(D21="","",IF(E20="ND",VLOOKUP(D21,Datenblatt!$A$2:$C$31,3,FALSE)-1,IF(E20="ND12,5",VLOOKUP(D21,Datenblatt!$A$2:$C$31,3,FALSE)-0.5,VLOOKUP(D21,Datenblatt!$A$2:$C$31,3,FALSE))))</f>
        <v/>
      </c>
      <c r="N21" s="211" t="str">
        <f t="shared" si="2"/>
        <v/>
      </c>
      <c r="O21" s="211" t="str">
        <f t="shared" si="3"/>
        <v/>
      </c>
      <c r="P21" s="186">
        <f>IF(D21="",IF($P$47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$47="Freizeit",(-M21-J21+IF(ISNUMBER(N21),(N21*1.5),0)+IF(ISNUMBER(O21),(O21*2),0)+IF(OR(E21="ND",E21="ND12,5"),2,0)),(-M21-J21)),IF($P$47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103" t="str">
        <f>IF(D21="","",VLOOKUP(D21,Datenblatt!$A$2:$D$31,4,FALSE))</f>
        <v/>
      </c>
      <c r="R21" s="104" t="str">
        <f>IF(E21="","",VLOOKUP(E21,Datenblatt!$E$2:$G$28,2,FALSE))</f>
        <v/>
      </c>
      <c r="S21" s="105"/>
      <c r="T21" s="111">
        <f t="shared" si="5"/>
        <v>0</v>
      </c>
      <c r="U21" s="114">
        <f t="array" ref="U21">IF(T20=0,0,IF(AND((ROW(T20)=MATCH(TRUE,($T$1:$T$43)&gt;0,0)),(D20="ND")),IF(T20&lt;3,T20,3),IF(AND(ROW(T20)=MATCH(TRUE,($T$1:$T$43)&gt;0,0),D20="ND12,5"),IF(T20&lt;2.5,T20,2.5),IF(D20="ND12,5",2.5,(T20-V20-W20)))))</f>
        <v>0</v>
      </c>
      <c r="V21" s="112">
        <f t="array" ref="V21">IF(T21=0,0,IF(AND((ROW(T21)=MATCH(TRUE,($T$1:$T$43)&gt;0,0)),(D21="ND")),IF(AND(T21&gt;11,T21&lt;=25),T21-11,0),IF(AND(ROW(T21)=MATCH(TRUE,($T$1:$T$43)&gt;0,0),D21="ND12,5"),IF(AND(T21&gt;10.5,T21&lt;=12.5),T21-10.5,0),IF(D21="ND12,5",2,IF(T21&lt;14,T21,14)))))</f>
        <v>0</v>
      </c>
      <c r="W21" s="112">
        <f t="array" ref="W21">IF(T21=0,0,IF(AND((ROW(T21)=MATCH(TRUE,($T$1:$T$43)&gt;0,0)),(D21="ND")),IF(AND(T21&gt;3,T21&lt;11),T21-3,IF(T21&gt;=11,8,0)),IF(AND((ROW(T21)=MATCH(TRUE,($T$1:$T$43)&gt;0,0)),(D21="ND12,5")),IF(AND(T21&gt;2.5,T21&lt;10.5),T21-2.5,IF(T21&gt;=10.5,8,0)),IF(D21="ND12,5",8,IF(AND(T21&gt;14,T21&lt;22),(T21-V21),IF(T21&gt;=22,8,0))))))</f>
        <v>0</v>
      </c>
      <c r="X21" s="254">
        <f t="array" ref="X21">IF(T21=0,0,IF((AND((ROW(T21)=MATCH(TRUE,($T$1:$T$43)&gt;0,0)))),IF(W21&gt;=6,W21-6,0),IF(W21&gt;=2,2,W21)))</f>
        <v>0</v>
      </c>
      <c r="Y21" s="254">
        <f t="array" ref="Y21">IF(T20=0,0,(IF((AND((ROW(T20)=MATCH(TRUE,($T$1:$T$43)&gt;0,0)))),IF(W20&gt;=6,6,W20),IF(W20&gt;=2,W20-2,0))))</f>
        <v>0</v>
      </c>
      <c r="Z21" s="111" t="str">
        <f t="shared" si="6"/>
        <v/>
      </c>
      <c r="AA21" s="214">
        <f>IF(E20="ND",IF(ISERROR(MATCH(D21,Datenblatt!$L$2:$L$18,0)),3,2),IF(E20="ND12,5",IF(ISERROR(MATCH(D21,Datenblatt!$L$2:$L$18,0)),2.5,2),0))</f>
        <v>0</v>
      </c>
      <c r="AB21" s="214">
        <f>IF((IF(E21="ND",14-IF(D21="",0,VLOOKUP(D21,Datenblatt!$L$2:$M$30,2,FALSE)),IF(E21="ND12,5",2,0)))&lt;0,0,(IF(E21="ND",14-IF(D21="",0,VLOOKUP(D21,Datenblatt!$L$2:$M$30,2,FALSE)),IF(E21="ND12,5",2,0))))</f>
        <v>0</v>
      </c>
      <c r="AC21" s="214">
        <f t="shared" si="7"/>
        <v>0</v>
      </c>
      <c r="AD21" s="214">
        <f t="shared" si="8"/>
        <v>0</v>
      </c>
      <c r="AE21" s="214">
        <f t="shared" si="9"/>
        <v>0</v>
      </c>
      <c r="AF21" s="112">
        <f t="shared" si="10"/>
        <v>0</v>
      </c>
      <c r="AG21" s="112">
        <f t="shared" si="11"/>
        <v>0</v>
      </c>
      <c r="AH21" s="112">
        <f>IF(E21="",0,VLOOKUP(E21,Datenblatt!$E$2:$G$28,3,FALSE))</f>
        <v>0</v>
      </c>
    </row>
    <row r="22" spans="1:34" ht="13" customHeight="1">
      <c r="A22" s="89" t="str">
        <f>IF(ISERROR(VLOOKUP(C22,Datenblatt!$B$84:$B$97,1,FALSE)),"","Ft")</f>
        <v/>
      </c>
      <c r="B22" s="84">
        <f t="shared" si="0"/>
        <v>45391</v>
      </c>
      <c r="C22" s="86">
        <f t="shared" si="4"/>
        <v>45391</v>
      </c>
      <c r="D22" s="67"/>
      <c r="E22" s="67"/>
      <c r="F22" s="68"/>
      <c r="G22" s="69"/>
      <c r="H22" s="68"/>
      <c r="I22" s="68"/>
      <c r="J22" s="99"/>
      <c r="K22" s="21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20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10" t="str">
        <f>IF(D22="","",IF(E21="ND",VLOOKUP(D22,Datenblatt!$A$2:$C$31,3,FALSE)-1,IF(E21="ND12,5",VLOOKUP(D22,Datenblatt!$A$2:$C$31,3,FALSE)-0.5,VLOOKUP(D22,Datenblatt!$A$2:$C$31,3,FALSE))))</f>
        <v/>
      </c>
      <c r="N22" s="211" t="str">
        <f t="shared" si="2"/>
        <v/>
      </c>
      <c r="O22" s="211" t="str">
        <f t="shared" si="3"/>
        <v/>
      </c>
      <c r="P22" s="186">
        <f>IF(D22="",IF($P$47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$47="Freizeit",(-M22-J22+IF(ISNUMBER(N22),(N22*1.5),0)+IF(ISNUMBER(O22),(O22*2),0)+IF(OR(E22="ND",E22="ND12,5"),2,0)),(-M22-J22)),IF($P$47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103" t="str">
        <f>IF(D22="","",VLOOKUP(D22,Datenblatt!$A$2:$D$31,4,FALSE))</f>
        <v/>
      </c>
      <c r="R22" s="104" t="str">
        <f>IF(E22="","",VLOOKUP(E22,Datenblatt!$E$2:$G$28,2,FALSE))</f>
        <v/>
      </c>
      <c r="S22" s="105"/>
      <c r="T22" s="111">
        <f t="shared" si="5"/>
        <v>0</v>
      </c>
      <c r="U22" s="114">
        <f t="array" ref="U22">IF(T21=0,0,IF(AND((ROW(T21)=MATCH(TRUE,($T$1:$T$43)&gt;0,0)),(D21="ND")),IF(T21&lt;3,T21,3),IF(AND(ROW(T21)=MATCH(TRUE,($T$1:$T$43)&gt;0,0),D21="ND12,5"),IF(T21&lt;2.5,T21,2.5),IF(D21="ND12,5",2.5,(T21-V21-W21)))))</f>
        <v>0</v>
      </c>
      <c r="V22" s="112">
        <f t="array" ref="V22">IF(T22=0,0,IF(AND((ROW(T22)=MATCH(TRUE,($T$1:$T$43)&gt;0,0)),(D22="ND")),IF(AND(T22&gt;11,T22&lt;=25),T22-11,0),IF(AND(ROW(T22)=MATCH(TRUE,($T$1:$T$43)&gt;0,0),D22="ND12,5"),IF(AND(T22&gt;10.5,T22&lt;=12.5),T22-10.5,0),IF(D22="ND12,5",2,IF(T22&lt;14,T22,14)))))</f>
        <v>0</v>
      </c>
      <c r="W22" s="112">
        <f t="array" ref="W22">IF(T22=0,0,IF(AND((ROW(T22)=MATCH(TRUE,($T$1:$T$43)&gt;0,0)),(D22="ND")),IF(AND(T22&gt;3,T22&lt;11),T22-3,IF(T22&gt;=11,8,0)),IF(AND((ROW(T22)=MATCH(TRUE,($T$1:$T$43)&gt;0,0)),(D22="ND12,5")),IF(AND(T22&gt;2.5,T22&lt;10.5),T22-2.5,IF(T22&gt;=10.5,8,0)),IF(D22="ND12,5",8,IF(AND(T22&gt;14,T22&lt;22),(T22-V22),IF(T22&gt;=22,8,0))))))</f>
        <v>0</v>
      </c>
      <c r="X22" s="254">
        <f t="array" ref="X22">IF(T22=0,0,IF((AND((ROW(T22)=MATCH(TRUE,($T$1:$T$43)&gt;0,0)))),IF(W22&gt;=6,W22-6,0),IF(W22&gt;=2,2,W22)))</f>
        <v>0</v>
      </c>
      <c r="Y22" s="254">
        <f t="array" ref="Y22">IF(T21=0,0,(IF((AND((ROW(T21)=MATCH(TRUE,($T$1:$T$43)&gt;0,0)))),IF(W21&gt;=6,6,W21),IF(W21&gt;=2,W21-2,0))))</f>
        <v>0</v>
      </c>
      <c r="Z22" s="111" t="str">
        <f t="shared" si="6"/>
        <v/>
      </c>
      <c r="AA22" s="214">
        <f>IF(E21="ND",IF(ISERROR(MATCH(D22,Datenblatt!$L$2:$L$18,0)),3,2),IF(E21="ND12,5",IF(ISERROR(MATCH(D22,Datenblatt!$L$2:$L$18,0)),2.5,2),0))</f>
        <v>0</v>
      </c>
      <c r="AB22" s="214">
        <f>IF((IF(E22="ND",14-IF(D22="",0,VLOOKUP(D22,Datenblatt!$L$2:$M$30,2,FALSE)),IF(E22="ND12,5",2,0)))&lt;0,0,(IF(E22="ND",14-IF(D22="",0,VLOOKUP(D22,Datenblatt!$L$2:$M$30,2,FALSE)),IF(E22="ND12,5",2,0))))</f>
        <v>0</v>
      </c>
      <c r="AC22" s="214">
        <f t="shared" si="7"/>
        <v>0</v>
      </c>
      <c r="AD22" s="214">
        <f t="shared" si="8"/>
        <v>0</v>
      </c>
      <c r="AE22" s="214">
        <f t="shared" si="9"/>
        <v>0</v>
      </c>
      <c r="AF22" s="112">
        <f t="shared" si="10"/>
        <v>0</v>
      </c>
      <c r="AG22" s="112">
        <f t="shared" si="11"/>
        <v>0</v>
      </c>
      <c r="AH22" s="112">
        <f>IF(E22="",0,VLOOKUP(E22,Datenblatt!$E$2:$G$28,3,FALSE))</f>
        <v>0</v>
      </c>
    </row>
    <row r="23" spans="1:34" ht="13" customHeight="1">
      <c r="A23" s="89" t="str">
        <f>IF(ISERROR(VLOOKUP(C23,Datenblatt!$B$84:$B$97,1,FALSE)),"","Ft")</f>
        <v/>
      </c>
      <c r="B23" s="84">
        <f t="shared" si="0"/>
        <v>45392</v>
      </c>
      <c r="C23" s="86">
        <f t="shared" si="4"/>
        <v>45392</v>
      </c>
      <c r="D23" s="67"/>
      <c r="E23" s="67"/>
      <c r="F23" s="68"/>
      <c r="G23" s="69"/>
      <c r="H23" s="68"/>
      <c r="I23" s="68"/>
      <c r="J23" s="99"/>
      <c r="K23" s="21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20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10" t="str">
        <f>IF(D23="","",IF(E22="ND",VLOOKUP(D23,Datenblatt!$A$2:$C$31,3,FALSE)-1,IF(E22="ND12,5",VLOOKUP(D23,Datenblatt!$A$2:$C$31,3,FALSE)-0.5,VLOOKUP(D23,Datenblatt!$A$2:$C$31,3,FALSE))))</f>
        <v/>
      </c>
      <c r="N23" s="211" t="str">
        <f t="shared" si="2"/>
        <v/>
      </c>
      <c r="O23" s="211" t="str">
        <f t="shared" si="3"/>
        <v/>
      </c>
      <c r="P23" s="186">
        <f>IF(D23="",IF($P$47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$47="Freizeit",(-M23-J23+IF(ISNUMBER(N23),(N23*1.5),0)+IF(ISNUMBER(O23),(O23*2),0)+IF(OR(E23="ND",E23="ND12,5"),2,0)),(-M23-J23)),IF($P$47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103" t="str">
        <f>IF(D23="","",VLOOKUP(D23,Datenblatt!$A$2:$D$31,4,FALSE))</f>
        <v/>
      </c>
      <c r="R23" s="104" t="str">
        <f>IF(E23="","",VLOOKUP(E23,Datenblatt!$E$2:$G$28,2,FALSE))</f>
        <v/>
      </c>
      <c r="S23" s="105"/>
      <c r="T23" s="111">
        <f t="shared" si="5"/>
        <v>0</v>
      </c>
      <c r="U23" s="114">
        <f t="array" ref="U23">IF(T22=0,0,IF(AND((ROW(T22)=MATCH(TRUE,($T$1:$T$43)&gt;0,0)),(D22="ND")),IF(T22&lt;3,T22,3),IF(AND(ROW(T22)=MATCH(TRUE,($T$1:$T$43)&gt;0,0),D22="ND12,5"),IF(T22&lt;2.5,T22,2.5),IF(D22="ND12,5",2.5,(T22-V22-W22)))))</f>
        <v>0</v>
      </c>
      <c r="V23" s="112">
        <f t="array" ref="V23">IF(T23=0,0,IF(AND((ROW(T23)=MATCH(TRUE,($T$1:$T$43)&gt;0,0)),(D23="ND")),IF(AND(T23&gt;11,T23&lt;=25),T23-11,0),IF(AND(ROW(T23)=MATCH(TRUE,($T$1:$T$43)&gt;0,0),D23="ND12,5"),IF(AND(T23&gt;10.5,T23&lt;=12.5),T23-10.5,0),IF(D23="ND12,5",2,IF(T23&lt;14,T23,14)))))</f>
        <v>0</v>
      </c>
      <c r="W23" s="112">
        <f t="array" ref="W23">IF(T23=0,0,IF(AND((ROW(T23)=MATCH(TRUE,($T$1:$T$43)&gt;0,0)),(D23="ND")),IF(AND(T23&gt;3,T23&lt;11),T23-3,IF(T23&gt;=11,8,0)),IF(AND((ROW(T23)=MATCH(TRUE,($T$1:$T$43)&gt;0,0)),(D23="ND12,5")),IF(AND(T23&gt;2.5,T23&lt;10.5),T23-2.5,IF(T23&gt;=10.5,8,0)),IF(D23="ND12,5",8,IF(AND(T23&gt;14,T23&lt;22),(T23-V23),IF(T23&gt;=22,8,0))))))</f>
        <v>0</v>
      </c>
      <c r="X23" s="254">
        <f t="array" ref="X23">IF(T23=0,0,IF((AND((ROW(T23)=MATCH(TRUE,($T$1:$T$43)&gt;0,0)))),IF(W23&gt;=6,W23-6,0),IF(W23&gt;=2,2,W23)))</f>
        <v>0</v>
      </c>
      <c r="Y23" s="254">
        <f t="array" ref="Y23">IF(T22=0,0,(IF((AND((ROW(T22)=MATCH(TRUE,($T$1:$T$43)&gt;0,0)))),IF(W22&gt;=6,6,W22),IF(W22&gt;=2,W22-2,0))))</f>
        <v>0</v>
      </c>
      <c r="Z23" s="111" t="str">
        <f t="shared" si="6"/>
        <v/>
      </c>
      <c r="AA23" s="214">
        <f>IF(E22="ND",IF(ISERROR(MATCH(D23,Datenblatt!$L$2:$L$18,0)),3,2),IF(E22="ND12,5",IF(ISERROR(MATCH(D23,Datenblatt!$L$2:$L$18,0)),2.5,2),0))</f>
        <v>0</v>
      </c>
      <c r="AB23" s="214">
        <f>IF((IF(E23="ND",14-IF(D23="",0,VLOOKUP(D23,Datenblatt!$L$2:$M$30,2,FALSE)),IF(E23="ND12,5",2,0)))&lt;0,0,(IF(E23="ND",14-IF(D23="",0,VLOOKUP(D23,Datenblatt!$L$2:$M$30,2,FALSE)),IF(E23="ND12,5",2,0))))</f>
        <v>0</v>
      </c>
      <c r="AC23" s="214">
        <f t="shared" si="7"/>
        <v>0</v>
      </c>
      <c r="AD23" s="214">
        <f t="shared" si="8"/>
        <v>0</v>
      </c>
      <c r="AE23" s="214">
        <f t="shared" si="9"/>
        <v>0</v>
      </c>
      <c r="AF23" s="112">
        <f t="shared" si="10"/>
        <v>0</v>
      </c>
      <c r="AG23" s="112">
        <f t="shared" si="11"/>
        <v>0</v>
      </c>
      <c r="AH23" s="112">
        <f>IF(E23="",0,VLOOKUP(E23,Datenblatt!$E$2:$G$28,3,FALSE))</f>
        <v>0</v>
      </c>
    </row>
    <row r="24" spans="1:34" ht="13" customHeight="1">
      <c r="A24" s="89" t="str">
        <f>IF(ISERROR(VLOOKUP(C24,Datenblatt!$B$84:$B$97,1,FALSE)),"","Ft")</f>
        <v/>
      </c>
      <c r="B24" s="84">
        <f t="shared" si="0"/>
        <v>45393</v>
      </c>
      <c r="C24" s="86">
        <f t="shared" si="4"/>
        <v>45393</v>
      </c>
      <c r="D24" s="67"/>
      <c r="E24" s="67"/>
      <c r="F24" s="68"/>
      <c r="G24" s="69"/>
      <c r="H24" s="68"/>
      <c r="I24" s="68"/>
      <c r="J24" s="99"/>
      <c r="K24" s="21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20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10" t="str">
        <f>IF(D24="","",IF(E23="ND",VLOOKUP(D24,Datenblatt!$A$2:$C$31,3,FALSE)-1,IF(E23="ND12,5",VLOOKUP(D24,Datenblatt!$A$2:$C$31,3,FALSE)-0.5,VLOOKUP(D24,Datenblatt!$A$2:$C$31,3,FALSE))))</f>
        <v/>
      </c>
      <c r="N24" s="211" t="str">
        <f t="shared" si="2"/>
        <v/>
      </c>
      <c r="O24" s="211" t="str">
        <f t="shared" si="3"/>
        <v/>
      </c>
      <c r="P24" s="186">
        <f>IF(D24="",IF($P$47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$47="Freizeit",(-M24-J24+IF(ISNUMBER(N24),(N24*1.5),0)+IF(ISNUMBER(O24),(O24*2),0)+IF(OR(E24="ND",E24="ND12,5"),2,0)),(-M24-J24)),IF($P$47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103" t="str">
        <f>IF(D24="","",VLOOKUP(D24,Datenblatt!$A$2:$D$31,4,FALSE))</f>
        <v/>
      </c>
      <c r="R24" s="104" t="str">
        <f>IF(E24="","",VLOOKUP(E24,Datenblatt!$E$2:$G$28,2,FALSE))</f>
        <v/>
      </c>
      <c r="S24" s="105"/>
      <c r="T24" s="111">
        <f t="shared" si="5"/>
        <v>0</v>
      </c>
      <c r="U24" s="114">
        <f t="array" ref="U24">IF(T23=0,0,IF(AND((ROW(T23)=MATCH(TRUE,($T$1:$T$43)&gt;0,0)),(D23="ND")),IF(T23&lt;3,T23,3),IF(AND(ROW(T23)=MATCH(TRUE,($T$1:$T$43)&gt;0,0),D23="ND12,5"),IF(T23&lt;2.5,T23,2.5),IF(D23="ND12,5",2.5,(T23-V23-W23)))))</f>
        <v>0</v>
      </c>
      <c r="V24" s="112">
        <f t="array" ref="V24">IF(T24=0,0,IF(AND((ROW(T24)=MATCH(TRUE,($T$1:$T$43)&gt;0,0)),(D24="ND")),IF(AND(T24&gt;11,T24&lt;=25),T24-11,0),IF(AND(ROW(T24)=MATCH(TRUE,($T$1:$T$43)&gt;0,0),D24="ND12,5"),IF(AND(T24&gt;10.5,T24&lt;=12.5),T24-10.5,0),IF(D24="ND12,5",2,IF(T24&lt;14,T24,14)))))</f>
        <v>0</v>
      </c>
      <c r="W24" s="112">
        <f t="array" ref="W24">IF(T24=0,0,IF(AND((ROW(T24)=MATCH(TRUE,($T$1:$T$43)&gt;0,0)),(D24="ND")),IF(AND(T24&gt;3,T24&lt;11),T24-3,IF(T24&gt;=11,8,0)),IF(AND((ROW(T24)=MATCH(TRUE,($T$1:$T$43)&gt;0,0)),(D24="ND12,5")),IF(AND(T24&gt;2.5,T24&lt;10.5),T24-2.5,IF(T24&gt;=10.5,8,0)),IF(D24="ND12,5",8,IF(AND(T24&gt;14,T24&lt;22),(T24-V24),IF(T24&gt;=22,8,0))))))</f>
        <v>0</v>
      </c>
      <c r="X24" s="254">
        <f t="array" ref="X24">IF(T24=0,0,IF((AND((ROW(T24)=MATCH(TRUE,($T$1:$T$43)&gt;0,0)))),IF(W24&gt;=6,W24-6,0),IF(W24&gt;=2,2,W24)))</f>
        <v>0</v>
      </c>
      <c r="Y24" s="254">
        <f t="array" ref="Y24">IF(T23=0,0,(IF((AND((ROW(T23)=MATCH(TRUE,($T$1:$T$43)&gt;0,0)))),IF(W23&gt;=6,6,W23),IF(W23&gt;=2,W23-2,0))))</f>
        <v>0</v>
      </c>
      <c r="Z24" s="111" t="str">
        <f t="shared" si="6"/>
        <v/>
      </c>
      <c r="AA24" s="214">
        <f>IF(E23="ND",IF(ISERROR(MATCH(D24,Datenblatt!$L$2:$L$18,0)),3,2),IF(E23="ND12,5",IF(ISERROR(MATCH(D24,Datenblatt!$L$2:$L$18,0)),2.5,2),0))</f>
        <v>0</v>
      </c>
      <c r="AB24" s="214">
        <f>IF((IF(E24="ND",14-IF(D24="",0,VLOOKUP(D24,Datenblatt!$L$2:$M$30,2,FALSE)),IF(E24="ND12,5",2,0)))&lt;0,0,(IF(E24="ND",14-IF(D24="",0,VLOOKUP(D24,Datenblatt!$L$2:$M$30,2,FALSE)),IF(E24="ND12,5",2,0))))</f>
        <v>0</v>
      </c>
      <c r="AC24" s="214">
        <f t="shared" si="7"/>
        <v>0</v>
      </c>
      <c r="AD24" s="214">
        <f t="shared" si="8"/>
        <v>0</v>
      </c>
      <c r="AE24" s="214">
        <f t="shared" si="9"/>
        <v>0</v>
      </c>
      <c r="AF24" s="112">
        <f t="shared" si="10"/>
        <v>0</v>
      </c>
      <c r="AG24" s="112">
        <f t="shared" si="11"/>
        <v>0</v>
      </c>
      <c r="AH24" s="112">
        <f>IF(E24="",0,VLOOKUP(E24,Datenblatt!$E$2:$G$28,3,FALSE))</f>
        <v>0</v>
      </c>
    </row>
    <row r="25" spans="1:34" ht="13" customHeight="1">
      <c r="A25" s="89" t="str">
        <f>IF(ISERROR(VLOOKUP(C25,Datenblatt!$B$84:$B$97,1,FALSE)),"","Ft")</f>
        <v/>
      </c>
      <c r="B25" s="84">
        <f t="shared" si="0"/>
        <v>45394</v>
      </c>
      <c r="C25" s="86">
        <f t="shared" si="4"/>
        <v>45394</v>
      </c>
      <c r="D25" s="67"/>
      <c r="E25" s="67"/>
      <c r="F25" s="68"/>
      <c r="G25" s="69"/>
      <c r="H25" s="68"/>
      <c r="I25" s="68"/>
      <c r="J25" s="99"/>
      <c r="K25" s="21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20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10" t="str">
        <f>IF(D25="","",IF(E24="ND",VLOOKUP(D25,Datenblatt!$A$2:$C$31,3,FALSE)-1,IF(E24="ND12,5",VLOOKUP(D25,Datenblatt!$A$2:$C$31,3,FALSE)-0.5,VLOOKUP(D25,Datenblatt!$A$2:$C$31,3,FALSE))))</f>
        <v/>
      </c>
      <c r="N25" s="211" t="str">
        <f t="shared" si="2"/>
        <v/>
      </c>
      <c r="O25" s="211" t="str">
        <f t="shared" si="3"/>
        <v/>
      </c>
      <c r="P25" s="186">
        <f>IF(D25="",IF($P$47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$47="Freizeit",(-M25-J25+IF(ISNUMBER(N25),(N25*1.5),0)+IF(ISNUMBER(O25),(O25*2),0)+IF(OR(E25="ND",E25="ND12,5"),2,0)),(-M25-J25)),IF($P$47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103" t="str">
        <f>IF(D25="","",VLOOKUP(D25,Datenblatt!$A$2:$D$31,4,FALSE))</f>
        <v/>
      </c>
      <c r="R25" s="104" t="str">
        <f>IF(E25="","",VLOOKUP(E25,Datenblatt!$E$2:$G$28,2,FALSE))</f>
        <v/>
      </c>
      <c r="S25" s="105"/>
      <c r="T25" s="111">
        <f t="shared" si="5"/>
        <v>0</v>
      </c>
      <c r="U25" s="114">
        <f t="array" ref="U25">IF(T24=0,0,IF(AND((ROW(T24)=MATCH(TRUE,($T$1:$T$43)&gt;0,0)),(D24="ND")),IF(T24&lt;3,T24,3),IF(AND(ROW(T24)=MATCH(TRUE,($T$1:$T$43)&gt;0,0),D24="ND12,5"),IF(T24&lt;2.5,T24,2.5),IF(D24="ND12,5",2.5,(T24-V24-W24)))))</f>
        <v>0</v>
      </c>
      <c r="V25" s="112">
        <f t="array" ref="V25">IF(T25=0,0,IF(AND((ROW(T25)=MATCH(TRUE,($T$1:$T$43)&gt;0,0)),(D25="ND")),IF(AND(T25&gt;11,T25&lt;=25),T25-11,0),IF(AND(ROW(T25)=MATCH(TRUE,($T$1:$T$43)&gt;0,0),D25="ND12,5"),IF(AND(T25&gt;10.5,T25&lt;=12.5),T25-10.5,0),IF(D25="ND12,5",2,IF(T25&lt;14,T25,14)))))</f>
        <v>0</v>
      </c>
      <c r="W25" s="112">
        <f t="array" ref="W25">IF(T25=0,0,IF(AND((ROW(T25)=MATCH(TRUE,($T$1:$T$43)&gt;0,0)),(D25="ND")),IF(AND(T25&gt;3,T25&lt;11),T25-3,IF(T25&gt;=11,8,0)),IF(AND((ROW(T25)=MATCH(TRUE,($T$1:$T$43)&gt;0,0)),(D25="ND12,5")),IF(AND(T25&gt;2.5,T25&lt;10.5),T25-2.5,IF(T25&gt;=10.5,8,0)),IF(D25="ND12,5",8,IF(AND(T25&gt;14,T25&lt;22),(T25-V25),IF(T25&gt;=22,8,0))))))</f>
        <v>0</v>
      </c>
      <c r="X25" s="254">
        <f t="array" ref="X25">IF(T25=0,0,IF((AND((ROW(T25)=MATCH(TRUE,($T$1:$T$43)&gt;0,0)))),IF(W25&gt;=6,W25-6,0),IF(W25&gt;=2,2,W25)))</f>
        <v>0</v>
      </c>
      <c r="Y25" s="254">
        <f t="array" ref="Y25">IF(T24=0,0,(IF((AND((ROW(T24)=MATCH(TRUE,($T$1:$T$43)&gt;0,0)))),IF(W24&gt;=6,6,W24),IF(W24&gt;=2,W24-2,0))))</f>
        <v>0</v>
      </c>
      <c r="Z25" s="111" t="str">
        <f t="shared" si="6"/>
        <v/>
      </c>
      <c r="AA25" s="214">
        <f>IF(E24="ND",IF(ISERROR(MATCH(D25,Datenblatt!$L$2:$L$18,0)),3,2),IF(E24="ND12,5",IF(ISERROR(MATCH(D25,Datenblatt!$L$2:$L$18,0)),2.5,2),0))</f>
        <v>0</v>
      </c>
      <c r="AB25" s="214">
        <f>IF((IF(E25="ND",14-IF(D25="",0,VLOOKUP(D25,Datenblatt!$L$2:$M$30,2,FALSE)),IF(E25="ND12,5",2,0)))&lt;0,0,(IF(E25="ND",14-IF(D25="",0,VLOOKUP(D25,Datenblatt!$L$2:$M$30,2,FALSE)),IF(E25="ND12,5",2,0))))</f>
        <v>0</v>
      </c>
      <c r="AC25" s="214">
        <f t="shared" si="7"/>
        <v>0</v>
      </c>
      <c r="AD25" s="214">
        <f t="shared" si="8"/>
        <v>0</v>
      </c>
      <c r="AE25" s="214">
        <f t="shared" si="9"/>
        <v>0</v>
      </c>
      <c r="AF25" s="112">
        <f t="shared" si="10"/>
        <v>0</v>
      </c>
      <c r="AG25" s="112">
        <f t="shared" si="11"/>
        <v>0</v>
      </c>
      <c r="AH25" s="112">
        <f>IF(E25="",0,VLOOKUP(E25,Datenblatt!$E$2:$G$28,3,FALSE))</f>
        <v>0</v>
      </c>
    </row>
    <row r="26" spans="1:34" ht="13" customHeight="1">
      <c r="A26" s="89" t="str">
        <f>IF(ISERROR(VLOOKUP(C26,Datenblatt!$B$84:$B$97,1,FALSE)),"","Ft")</f>
        <v/>
      </c>
      <c r="B26" s="84">
        <f t="shared" si="0"/>
        <v>45395</v>
      </c>
      <c r="C26" s="86">
        <f t="shared" si="4"/>
        <v>45395</v>
      </c>
      <c r="D26" s="67"/>
      <c r="E26" s="67"/>
      <c r="F26" s="68"/>
      <c r="G26" s="69"/>
      <c r="H26" s="68"/>
      <c r="I26" s="68"/>
      <c r="J26" s="99"/>
      <c r="K26" s="21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20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10" t="str">
        <f>IF(D26="","",IF(E25="ND",VLOOKUP(D26,Datenblatt!$A$2:$C$31,3,FALSE)-1,IF(E25="ND12,5",VLOOKUP(D26,Datenblatt!$A$2:$C$31,3,FALSE)-0.5,VLOOKUP(D26,Datenblatt!$A$2:$C$31,3,FALSE))))</f>
        <v/>
      </c>
      <c r="N26" s="211" t="str">
        <f t="shared" si="2"/>
        <v/>
      </c>
      <c r="O26" s="211" t="str">
        <f t="shared" si="3"/>
        <v/>
      </c>
      <c r="P26" s="186">
        <f>IF(D26="",IF($P$47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$47="Freizeit",(-M26-J26+IF(ISNUMBER(N26),(N26*1.5),0)+IF(ISNUMBER(O26),(O26*2),0)+IF(OR(E26="ND",E26="ND12,5"),2,0)),(-M26-J26)),IF($P$47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103" t="str">
        <f>IF(D26="","",VLOOKUP(D26,Datenblatt!$A$2:$D$31,4,FALSE))</f>
        <v/>
      </c>
      <c r="R26" s="104" t="str">
        <f>IF(E26="","",VLOOKUP(E26,Datenblatt!$E$2:$G$28,2,FALSE))</f>
        <v/>
      </c>
      <c r="S26" s="105"/>
      <c r="T26" s="111">
        <f t="shared" si="5"/>
        <v>0</v>
      </c>
      <c r="U26" s="114">
        <f t="array" ref="U26">IF(T25=0,0,IF(AND((ROW(T25)=MATCH(TRUE,($T$1:$T$43)&gt;0,0)),(D25="ND")),IF(T25&lt;3,T25,3),IF(AND(ROW(T25)=MATCH(TRUE,($T$1:$T$43)&gt;0,0),D25="ND12,5"),IF(T25&lt;2.5,T25,2.5),IF(D25="ND12,5",2.5,(T25-V25-W25)))))</f>
        <v>0</v>
      </c>
      <c r="V26" s="112">
        <f t="array" ref="V26">IF(T26=0,0,IF(AND((ROW(T26)=MATCH(TRUE,($T$1:$T$43)&gt;0,0)),(D26="ND")),IF(AND(T26&gt;11,T26&lt;=25),T26-11,0),IF(AND(ROW(T26)=MATCH(TRUE,($T$1:$T$43)&gt;0,0),D26="ND12,5"),IF(AND(T26&gt;10.5,T26&lt;=12.5),T26-10.5,0),IF(D26="ND12,5",2,IF(T26&lt;14,T26,14)))))</f>
        <v>0</v>
      </c>
      <c r="W26" s="112">
        <f t="array" ref="W26">IF(T26=0,0,IF(AND((ROW(T26)=MATCH(TRUE,($T$1:$T$43)&gt;0,0)),(D26="ND")),IF(AND(T26&gt;3,T26&lt;11),T26-3,IF(T26&gt;=11,8,0)),IF(AND((ROW(T26)=MATCH(TRUE,($T$1:$T$43)&gt;0,0)),(D26="ND12,5")),IF(AND(T26&gt;2.5,T26&lt;10.5),T26-2.5,IF(T26&gt;=10.5,8,0)),IF(D26="ND12,5",8,IF(AND(T26&gt;14,T26&lt;22),(T26-V26),IF(T26&gt;=22,8,0))))))</f>
        <v>0</v>
      </c>
      <c r="X26" s="254">
        <f t="array" ref="X26">IF(T26=0,0,IF((AND((ROW(T26)=MATCH(TRUE,($T$1:$T$43)&gt;0,0)))),IF(W26&gt;=6,W26-6,0),IF(W26&gt;=2,2,W26)))</f>
        <v>0</v>
      </c>
      <c r="Y26" s="254">
        <f t="array" ref="Y26">IF(T25=0,0,(IF((AND((ROW(T25)=MATCH(TRUE,($T$1:$T$43)&gt;0,0)))),IF(W25&gt;=6,6,W25),IF(W25&gt;=2,W25-2,0))))</f>
        <v>0</v>
      </c>
      <c r="Z26" s="111" t="str">
        <f t="shared" si="6"/>
        <v/>
      </c>
      <c r="AA26" s="214">
        <f>IF(E25="ND",IF(ISERROR(MATCH(D26,Datenblatt!$L$2:$L$18,0)),3,2),IF(E25="ND12,5",IF(ISERROR(MATCH(D26,Datenblatt!$L$2:$L$18,0)),2.5,2),0))</f>
        <v>0</v>
      </c>
      <c r="AB26" s="214">
        <f>IF((IF(E26="ND",14-IF(D26="",0,VLOOKUP(D26,Datenblatt!$L$2:$M$30,2,FALSE)),IF(E26="ND12,5",2,0)))&lt;0,0,(IF(E26="ND",14-IF(D26="",0,VLOOKUP(D26,Datenblatt!$L$2:$M$30,2,FALSE)),IF(E26="ND12,5",2,0))))</f>
        <v>0</v>
      </c>
      <c r="AC26" s="214">
        <f t="shared" si="7"/>
        <v>0</v>
      </c>
      <c r="AD26" s="214">
        <f t="shared" si="8"/>
        <v>0</v>
      </c>
      <c r="AE26" s="214">
        <f t="shared" si="9"/>
        <v>0</v>
      </c>
      <c r="AF26" s="112">
        <f t="shared" si="10"/>
        <v>0</v>
      </c>
      <c r="AG26" s="112">
        <f t="shared" si="11"/>
        <v>0</v>
      </c>
      <c r="AH26" s="112">
        <f>IF(E26="",0,VLOOKUP(E26,Datenblatt!$E$2:$G$28,3,FALSE))</f>
        <v>0</v>
      </c>
    </row>
    <row r="27" spans="1:34" ht="13" customHeight="1">
      <c r="A27" s="89" t="str">
        <f>IF(ISERROR(VLOOKUP(C27,Datenblatt!$B$84:$B$97,1,FALSE)),"","Ft")</f>
        <v/>
      </c>
      <c r="B27" s="84">
        <f t="shared" si="0"/>
        <v>45396</v>
      </c>
      <c r="C27" s="86">
        <f t="shared" si="4"/>
        <v>45396</v>
      </c>
      <c r="D27" s="67"/>
      <c r="E27" s="67"/>
      <c r="F27" s="68"/>
      <c r="G27" s="69"/>
      <c r="H27" s="68"/>
      <c r="I27" s="68"/>
      <c r="J27" s="99"/>
      <c r="K27" s="21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20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10" t="str">
        <f>IF(D27="","",IF(E26="ND",VLOOKUP(D27,Datenblatt!$A$2:$C$31,3,FALSE)-1,IF(E26="ND12,5",VLOOKUP(D27,Datenblatt!$A$2:$C$31,3,FALSE)-0.5,VLOOKUP(D27,Datenblatt!$A$2:$C$31,3,FALSE))))</f>
        <v/>
      </c>
      <c r="N27" s="211" t="str">
        <f t="shared" si="2"/>
        <v/>
      </c>
      <c r="O27" s="211">
        <f t="shared" si="3"/>
        <v>0</v>
      </c>
      <c r="P27" s="186">
        <f>IF(D27="",IF($P$47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$47="Freizeit",(-M27-J27+IF(ISNUMBER(N27),(N27*1.5),0)+IF(ISNUMBER(O27),(O27*2),0)+IF(OR(E27="ND",E27="ND12,5"),2,0)),(-M27-J27)),IF($P$47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103" t="str">
        <f>IF(D27="","",VLOOKUP(D27,Datenblatt!$A$2:$D$31,4,FALSE))</f>
        <v/>
      </c>
      <c r="R27" s="104" t="str">
        <f>IF(E27="","",VLOOKUP(E27,Datenblatt!$E$2:$G$28,2,FALSE))</f>
        <v/>
      </c>
      <c r="S27" s="105"/>
      <c r="T27" s="111">
        <f t="shared" si="5"/>
        <v>0</v>
      </c>
      <c r="U27" s="114">
        <f t="array" ref="U27">IF(T26=0,0,IF(AND((ROW(T26)=MATCH(TRUE,($T$1:$T$43)&gt;0,0)),(D26="ND")),IF(T26&lt;3,T26,3),IF(AND(ROW(T26)=MATCH(TRUE,($T$1:$T$43)&gt;0,0),D26="ND12,5"),IF(T26&lt;2.5,T26,2.5),IF(D26="ND12,5",2.5,(T26-V26-W26)))))</f>
        <v>0</v>
      </c>
      <c r="V27" s="112">
        <f t="array" ref="V27">IF(T27=0,0,IF(AND((ROW(T27)=MATCH(TRUE,($T$1:$T$43)&gt;0,0)),(D27="ND")),IF(AND(T27&gt;11,T27&lt;=25),T27-11,0),IF(AND(ROW(T27)=MATCH(TRUE,($T$1:$T$43)&gt;0,0),D27="ND12,5"),IF(AND(T27&gt;10.5,T27&lt;=12.5),T27-10.5,0),IF(D27="ND12,5",2,IF(T27&lt;14,T27,14)))))</f>
        <v>0</v>
      </c>
      <c r="W27" s="112">
        <f t="array" ref="W27">IF(T27=0,0,IF(AND((ROW(T27)=MATCH(TRUE,($T$1:$T$43)&gt;0,0)),(D27="ND")),IF(AND(T27&gt;3,T27&lt;11),T27-3,IF(T27&gt;=11,8,0)),IF(AND((ROW(T27)=MATCH(TRUE,($T$1:$T$43)&gt;0,0)),(D27="ND12,5")),IF(AND(T27&gt;2.5,T27&lt;10.5),T27-2.5,IF(T27&gt;=10.5,8,0)),IF(D27="ND12,5",8,IF(AND(T27&gt;14,T27&lt;22),(T27-V27),IF(T27&gt;=22,8,0))))))</f>
        <v>0</v>
      </c>
      <c r="X27" s="254">
        <f t="array" ref="X27">IF(T27=0,0,IF((AND((ROW(T27)=MATCH(TRUE,($T$1:$T$43)&gt;0,0)))),IF(W27&gt;=6,W27-6,0),IF(W27&gt;=2,2,W27)))</f>
        <v>0</v>
      </c>
      <c r="Y27" s="254">
        <f t="array" ref="Y27">IF(T26=0,0,(IF((AND((ROW(T26)=MATCH(TRUE,($T$1:$T$43)&gt;0,0)))),IF(W26&gt;=6,6,W26),IF(W26&gt;=2,W26-2,0))))</f>
        <v>0</v>
      </c>
      <c r="Z27" s="111" t="str">
        <f t="shared" si="6"/>
        <v/>
      </c>
      <c r="AA27" s="214">
        <f>IF(E26="ND",IF(ISERROR(MATCH(D27,Datenblatt!$L$2:$L$18,0)),3,2),IF(E26="ND12,5",IF(ISERROR(MATCH(D27,Datenblatt!$L$2:$L$18,0)),2.5,2),0))</f>
        <v>0</v>
      </c>
      <c r="AB27" s="214">
        <f>IF((IF(E27="ND",14-IF(D27="",0,VLOOKUP(D27,Datenblatt!$L$2:$M$30,2,FALSE)),IF(E27="ND12,5",2,0)))&lt;0,0,(IF(E27="ND",14-IF(D27="",0,VLOOKUP(D27,Datenblatt!$L$2:$M$30,2,FALSE)),IF(E27="ND12,5",2,0))))</f>
        <v>0</v>
      </c>
      <c r="AC27" s="214">
        <f t="shared" si="7"/>
        <v>0</v>
      </c>
      <c r="AD27" s="214">
        <f t="shared" si="8"/>
        <v>0</v>
      </c>
      <c r="AE27" s="214">
        <f t="shared" si="9"/>
        <v>0</v>
      </c>
      <c r="AF27" s="112">
        <f t="shared" si="10"/>
        <v>0</v>
      </c>
      <c r="AG27" s="112">
        <f t="shared" si="11"/>
        <v>0</v>
      </c>
      <c r="AH27" s="112">
        <f>IF(E27="",0,VLOOKUP(E27,Datenblatt!$E$2:$G$28,3,FALSE))</f>
        <v>0</v>
      </c>
    </row>
    <row r="28" spans="1:34" ht="13" customHeight="1">
      <c r="A28" s="89" t="str">
        <f>IF(ISERROR(VLOOKUP(C28,Datenblatt!$B$84:$B$97,1,FALSE)),"","Ft")</f>
        <v/>
      </c>
      <c r="B28" s="84">
        <f t="shared" si="0"/>
        <v>45397</v>
      </c>
      <c r="C28" s="86">
        <f t="shared" si="4"/>
        <v>45397</v>
      </c>
      <c r="D28" s="67"/>
      <c r="E28" s="67"/>
      <c r="F28" s="68"/>
      <c r="G28" s="69"/>
      <c r="H28" s="68"/>
      <c r="I28" s="68"/>
      <c r="J28" s="99"/>
      <c r="K28" s="21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20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10" t="str">
        <f>IF(D28="","",IF(E27="ND",VLOOKUP(D28,Datenblatt!$A$2:$C$31,3,FALSE)-1,IF(E27="ND12,5",VLOOKUP(D28,Datenblatt!$A$2:$C$31,3,FALSE)-0.5,VLOOKUP(D28,Datenblatt!$A$2:$C$31,3,FALSE))))</f>
        <v/>
      </c>
      <c r="N28" s="211" t="str">
        <f t="shared" si="2"/>
        <v/>
      </c>
      <c r="O28" s="211" t="str">
        <f t="shared" si="3"/>
        <v/>
      </c>
      <c r="P28" s="186">
        <f>IF(D28="",IF($P$47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$47="Freizeit",(-M28-J28+IF(ISNUMBER(N28),(N28*1.5),0)+IF(ISNUMBER(O28),(O28*2),0)+IF(OR(E28="ND",E28="ND12,5"),2,0)),(-M28-J28)),IF($P$47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103" t="str">
        <f>IF(D28="","",VLOOKUP(D28,Datenblatt!$A$2:$D$31,4,FALSE))</f>
        <v/>
      </c>
      <c r="R28" s="104" t="str">
        <f>IF(E28="","",VLOOKUP(E28,Datenblatt!$E$2:$G$28,2,FALSE))</f>
        <v/>
      </c>
      <c r="S28" s="105"/>
      <c r="T28" s="111">
        <f t="shared" si="5"/>
        <v>0</v>
      </c>
      <c r="U28" s="114">
        <f t="array" ref="U28">IF(T27=0,0,IF(AND((ROW(T27)=MATCH(TRUE,($T$1:$T$43)&gt;0,0)),(D27="ND")),IF(T27&lt;3,T27,3),IF(AND(ROW(T27)=MATCH(TRUE,($T$1:$T$43)&gt;0,0),D27="ND12,5"),IF(T27&lt;2.5,T27,2.5),IF(D27="ND12,5",2.5,(T27-V27-W27)))))</f>
        <v>0</v>
      </c>
      <c r="V28" s="112">
        <f t="array" ref="V28">IF(T28=0,0,IF(AND((ROW(T28)=MATCH(TRUE,($T$1:$T$43)&gt;0,0)),(D28="ND")),IF(AND(T28&gt;11,T28&lt;=25),T28-11,0),IF(AND(ROW(T28)=MATCH(TRUE,($T$1:$T$43)&gt;0,0),D28="ND12,5"),IF(AND(T28&gt;10.5,T28&lt;=12.5),T28-10.5,0),IF(D28="ND12,5",2,IF(T28&lt;14,T28,14)))))</f>
        <v>0</v>
      </c>
      <c r="W28" s="112">
        <f t="array" ref="W28">IF(T28=0,0,IF(AND((ROW(T28)=MATCH(TRUE,($T$1:$T$43)&gt;0,0)),(D28="ND")),IF(AND(T28&gt;3,T28&lt;11),T28-3,IF(T28&gt;=11,8,0)),IF(AND((ROW(T28)=MATCH(TRUE,($T$1:$T$43)&gt;0,0)),(D28="ND12,5")),IF(AND(T28&gt;2.5,T28&lt;10.5),T28-2.5,IF(T28&gt;=10.5,8,0)),IF(D28="ND12,5",8,IF(AND(T28&gt;14,T28&lt;22),(T28-V28),IF(T28&gt;=22,8,0))))))</f>
        <v>0</v>
      </c>
      <c r="X28" s="254">
        <f t="array" ref="X28">IF(T28=0,0,IF((AND((ROW(T28)=MATCH(TRUE,($T$1:$T$43)&gt;0,0)))),IF(W28&gt;=6,W28-6,0),IF(W28&gt;=2,2,W28)))</f>
        <v>0</v>
      </c>
      <c r="Y28" s="254">
        <f t="array" ref="Y28">IF(T27=0,0,(IF((AND((ROW(T27)=MATCH(TRUE,($T$1:$T$43)&gt;0,0)))),IF(W27&gt;=6,6,W27),IF(W27&gt;=2,W27-2,0))))</f>
        <v>0</v>
      </c>
      <c r="Z28" s="111" t="str">
        <f t="shared" si="6"/>
        <v/>
      </c>
      <c r="AA28" s="214">
        <f>IF(E27="ND",IF(ISERROR(MATCH(D28,Datenblatt!$L$2:$L$18,0)),3,2),IF(E27="ND12,5",IF(ISERROR(MATCH(D28,Datenblatt!$L$2:$L$18,0)),2.5,2),0))</f>
        <v>0</v>
      </c>
      <c r="AB28" s="214">
        <f>IF((IF(E28="ND",14-IF(D28="",0,VLOOKUP(D28,Datenblatt!$L$2:$M$30,2,FALSE)),IF(E28="ND12,5",2,0)))&lt;0,0,(IF(E28="ND",14-IF(D28="",0,VLOOKUP(D28,Datenblatt!$L$2:$M$30,2,FALSE)),IF(E28="ND12,5",2,0))))</f>
        <v>0</v>
      </c>
      <c r="AC28" s="214">
        <f t="shared" si="7"/>
        <v>0</v>
      </c>
      <c r="AD28" s="214">
        <f t="shared" si="8"/>
        <v>0</v>
      </c>
      <c r="AE28" s="214">
        <f t="shared" si="9"/>
        <v>0</v>
      </c>
      <c r="AF28" s="112">
        <f t="shared" si="10"/>
        <v>0</v>
      </c>
      <c r="AG28" s="112">
        <f t="shared" si="11"/>
        <v>0</v>
      </c>
      <c r="AH28" s="112">
        <f>IF(E28="",0,VLOOKUP(E28,Datenblatt!$E$2:$G$28,3,FALSE))</f>
        <v>0</v>
      </c>
    </row>
    <row r="29" spans="1:34" ht="13" customHeight="1">
      <c r="A29" s="89" t="str">
        <f>IF(ISERROR(VLOOKUP(C29,Datenblatt!$B$84:$B$97,1,FALSE)),"","Ft")</f>
        <v/>
      </c>
      <c r="B29" s="84">
        <f t="shared" si="0"/>
        <v>45398</v>
      </c>
      <c r="C29" s="86">
        <f t="shared" si="4"/>
        <v>45398</v>
      </c>
      <c r="D29" s="67"/>
      <c r="E29" s="67"/>
      <c r="F29" s="68"/>
      <c r="G29" s="69"/>
      <c r="H29" s="68"/>
      <c r="I29" s="68"/>
      <c r="J29" s="99"/>
      <c r="K29" s="21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20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10" t="str">
        <f>IF(D29="","",IF(E28="ND",VLOOKUP(D29,Datenblatt!$A$2:$C$31,3,FALSE)-1,IF(E28="ND12,5",VLOOKUP(D29,Datenblatt!$A$2:$C$31,3,FALSE)-0.5,VLOOKUP(D29,Datenblatt!$A$2:$C$31,3,FALSE))))</f>
        <v/>
      </c>
      <c r="N29" s="211" t="str">
        <f t="shared" si="2"/>
        <v/>
      </c>
      <c r="O29" s="211" t="str">
        <f t="shared" si="3"/>
        <v/>
      </c>
      <c r="P29" s="186">
        <f>IF(D29="",IF($P$47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$47="Freizeit",(-M29-J29+IF(ISNUMBER(N29),(N29*1.5),0)+IF(ISNUMBER(O29),(O29*2),0)+IF(OR(E29="ND",E29="ND12,5"),2,0)),(-M29-J29)),IF($P$47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103" t="str">
        <f>IF(D29="","",VLOOKUP(D29,Datenblatt!$A$2:$D$31,4,FALSE))</f>
        <v/>
      </c>
      <c r="R29" s="104" t="str">
        <f>IF(E29="","",VLOOKUP(E29,Datenblatt!$E$2:$G$28,2,FALSE))</f>
        <v/>
      </c>
      <c r="S29" s="105"/>
      <c r="T29" s="111">
        <f t="shared" si="5"/>
        <v>0</v>
      </c>
      <c r="U29" s="114">
        <f t="array" ref="U29">IF(T28=0,0,IF(AND((ROW(T28)=MATCH(TRUE,($T$1:$T$43)&gt;0,0)),(D28="ND")),IF(T28&lt;3,T28,3),IF(AND(ROW(T28)=MATCH(TRUE,($T$1:$T$43)&gt;0,0),D28="ND12,5"),IF(T28&lt;2.5,T28,2.5),IF(D28="ND12,5",2.5,(T28-V28-W28)))))</f>
        <v>0</v>
      </c>
      <c r="V29" s="112">
        <f t="array" ref="V29">IF(T29=0,0,IF(AND((ROW(T29)=MATCH(TRUE,($T$1:$T$43)&gt;0,0)),(D29="ND")),IF(AND(T29&gt;11,T29&lt;=25),T29-11,0),IF(AND(ROW(T29)=MATCH(TRUE,($T$1:$T$43)&gt;0,0),D29="ND12,5"),IF(AND(T29&gt;10.5,T29&lt;=12.5),T29-10.5,0),IF(D29="ND12,5",2,IF(T29&lt;14,T29,14)))))</f>
        <v>0</v>
      </c>
      <c r="W29" s="112">
        <f t="array" ref="W29">IF(T29=0,0,IF(AND((ROW(T29)=MATCH(TRUE,($T$1:$T$43)&gt;0,0)),(D29="ND")),IF(AND(T29&gt;3,T29&lt;11),T29-3,IF(T29&gt;=11,8,0)),IF(AND((ROW(T29)=MATCH(TRUE,($T$1:$T$43)&gt;0,0)),(D29="ND12,5")),IF(AND(T29&gt;2.5,T29&lt;10.5),T29-2.5,IF(T29&gt;=10.5,8,0)),IF(D29="ND12,5",8,IF(AND(T29&gt;14,T29&lt;22),(T29-V29),IF(T29&gt;=22,8,0))))))</f>
        <v>0</v>
      </c>
      <c r="X29" s="254">
        <f t="array" ref="X29">IF(T29=0,0,IF((AND((ROW(T29)=MATCH(TRUE,($T$1:$T$43)&gt;0,0)))),IF(W29&gt;=6,W29-6,0),IF(W29&gt;=2,2,W29)))</f>
        <v>0</v>
      </c>
      <c r="Y29" s="254">
        <f t="array" ref="Y29">IF(T28=0,0,(IF((AND((ROW(T28)=MATCH(TRUE,($T$1:$T$43)&gt;0,0)))),IF(W28&gt;=6,6,W28),IF(W28&gt;=2,W28-2,0))))</f>
        <v>0</v>
      </c>
      <c r="Z29" s="111" t="str">
        <f t="shared" si="6"/>
        <v/>
      </c>
      <c r="AA29" s="214">
        <f>IF(E28="ND",IF(ISERROR(MATCH(D29,Datenblatt!$L$2:$L$18,0)),3,2),IF(E28="ND12,5",IF(ISERROR(MATCH(D29,Datenblatt!$L$2:$L$18,0)),2.5,2),0))</f>
        <v>0</v>
      </c>
      <c r="AB29" s="214">
        <f>IF((IF(E29="ND",14-IF(D29="",0,VLOOKUP(D29,Datenblatt!$L$2:$M$30,2,FALSE)),IF(E29="ND12,5",2,0)))&lt;0,0,(IF(E29="ND",14-IF(D29="",0,VLOOKUP(D29,Datenblatt!$L$2:$M$30,2,FALSE)),IF(E29="ND12,5",2,0))))</f>
        <v>0</v>
      </c>
      <c r="AC29" s="214">
        <f t="shared" si="7"/>
        <v>0</v>
      </c>
      <c r="AD29" s="214">
        <f t="shared" si="8"/>
        <v>0</v>
      </c>
      <c r="AE29" s="214">
        <f t="shared" si="9"/>
        <v>0</v>
      </c>
      <c r="AF29" s="112">
        <f t="shared" si="10"/>
        <v>0</v>
      </c>
      <c r="AG29" s="112">
        <f t="shared" si="11"/>
        <v>0</v>
      </c>
      <c r="AH29" s="112">
        <f>IF(E29="",0,VLOOKUP(E29,Datenblatt!$E$2:$G$28,3,FALSE))</f>
        <v>0</v>
      </c>
    </row>
    <row r="30" spans="1:34" ht="13" customHeight="1">
      <c r="A30" s="89" t="str">
        <f>IF(ISERROR(VLOOKUP(C30,Datenblatt!$B$84:$B$97,1,FALSE)),"","Ft")</f>
        <v/>
      </c>
      <c r="B30" s="84">
        <f t="shared" si="0"/>
        <v>45399</v>
      </c>
      <c r="C30" s="86">
        <f t="shared" si="4"/>
        <v>45399</v>
      </c>
      <c r="D30" s="67"/>
      <c r="E30" s="67"/>
      <c r="F30" s="68"/>
      <c r="G30" s="69"/>
      <c r="H30" s="68"/>
      <c r="I30" s="68"/>
      <c r="J30" s="99"/>
      <c r="K30" s="21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20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10" t="str">
        <f>IF(D30="","",IF(E29="ND",VLOOKUP(D30,Datenblatt!$A$2:$C$31,3,FALSE)-1,IF(E29="ND12,5",VLOOKUP(D30,Datenblatt!$A$2:$C$31,3,FALSE)-0.5,VLOOKUP(D30,Datenblatt!$A$2:$C$31,3,FALSE))))</f>
        <v/>
      </c>
      <c r="N30" s="211" t="str">
        <f t="shared" si="2"/>
        <v/>
      </c>
      <c r="O30" s="211" t="str">
        <f t="shared" si="3"/>
        <v/>
      </c>
      <c r="P30" s="186">
        <f>IF(D30="",IF($P$47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$47="Freizeit",(-M30-J30+IF(ISNUMBER(N30),(N30*1.5),0)+IF(ISNUMBER(O30),(O30*2),0)+IF(OR(E30="ND",E30="ND12,5"),2,0)),(-M30-J30)),IF($P$47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103" t="str">
        <f>IF(D30="","",VLOOKUP(D30,Datenblatt!$A$2:$D$31,4,FALSE))</f>
        <v/>
      </c>
      <c r="R30" s="104" t="str">
        <f>IF(E30="","",VLOOKUP(E30,Datenblatt!$E$2:$G$28,2,FALSE))</f>
        <v/>
      </c>
      <c r="S30" s="105"/>
      <c r="T30" s="111">
        <f t="shared" si="5"/>
        <v>0</v>
      </c>
      <c r="U30" s="114">
        <f t="array" ref="U30">IF(T29=0,0,IF(AND((ROW(T29)=MATCH(TRUE,($T$1:$T$43)&gt;0,0)),(D29="ND")),IF(T29&lt;3,T29,3),IF(AND(ROW(T29)=MATCH(TRUE,($T$1:$T$43)&gt;0,0),D29="ND12,5"),IF(T29&lt;2.5,T29,2.5),IF(D29="ND12,5",2.5,(T29-V29-W29)))))</f>
        <v>0</v>
      </c>
      <c r="V30" s="112">
        <f t="array" ref="V30">IF(T30=0,0,IF(AND((ROW(T30)=MATCH(TRUE,($T$1:$T$43)&gt;0,0)),(D30="ND")),IF(AND(T30&gt;11,T30&lt;=25),T30-11,0),IF(AND(ROW(T30)=MATCH(TRUE,($T$1:$T$43)&gt;0,0),D30="ND12,5"),IF(AND(T30&gt;10.5,T30&lt;=12.5),T30-10.5,0),IF(D30="ND12,5",2,IF(T30&lt;14,T30,14)))))</f>
        <v>0</v>
      </c>
      <c r="W30" s="112">
        <f t="array" ref="W30">IF(T30=0,0,IF(AND((ROW(T30)=MATCH(TRUE,($T$1:$T$43)&gt;0,0)),(D30="ND")),IF(AND(T30&gt;3,T30&lt;11),T30-3,IF(T30&gt;=11,8,0)),IF(AND((ROW(T30)=MATCH(TRUE,($T$1:$T$43)&gt;0,0)),(D30="ND12,5")),IF(AND(T30&gt;2.5,T30&lt;10.5),T30-2.5,IF(T30&gt;=10.5,8,0)),IF(D30="ND12,5",8,IF(AND(T30&gt;14,T30&lt;22),(T30-V30),IF(T30&gt;=22,8,0))))))</f>
        <v>0</v>
      </c>
      <c r="X30" s="254">
        <f t="array" ref="X30">IF(T30=0,0,IF((AND((ROW(T30)=MATCH(TRUE,($T$1:$T$43)&gt;0,0)))),IF(W30&gt;=6,W30-6,0),IF(W30&gt;=2,2,W30)))</f>
        <v>0</v>
      </c>
      <c r="Y30" s="254">
        <f t="array" ref="Y30">IF(T29=0,0,(IF((AND((ROW(T29)=MATCH(TRUE,($T$1:$T$43)&gt;0,0)))),IF(W29&gt;=6,6,W29),IF(W29&gt;=2,W29-2,0))))</f>
        <v>0</v>
      </c>
      <c r="Z30" s="111" t="str">
        <f t="shared" si="6"/>
        <v/>
      </c>
      <c r="AA30" s="214">
        <f>IF(E29="ND",IF(ISERROR(MATCH(D30,Datenblatt!$L$2:$L$18,0)),3,2),IF(E29="ND12,5",IF(ISERROR(MATCH(D30,Datenblatt!$L$2:$L$18,0)),2.5,2),0))</f>
        <v>0</v>
      </c>
      <c r="AB30" s="214">
        <f>IF((IF(E30="ND",14-IF(D30="",0,VLOOKUP(D30,Datenblatt!$L$2:$M$30,2,FALSE)),IF(E30="ND12,5",2,0)))&lt;0,0,(IF(E30="ND",14-IF(D30="",0,VLOOKUP(D30,Datenblatt!$L$2:$M$30,2,FALSE)),IF(E30="ND12,5",2,0))))</f>
        <v>0</v>
      </c>
      <c r="AC30" s="214">
        <f t="shared" si="7"/>
        <v>0</v>
      </c>
      <c r="AD30" s="214">
        <f t="shared" si="8"/>
        <v>0</v>
      </c>
      <c r="AE30" s="214">
        <f t="shared" si="9"/>
        <v>0</v>
      </c>
      <c r="AF30" s="112">
        <f t="shared" si="10"/>
        <v>0</v>
      </c>
      <c r="AG30" s="112">
        <f t="shared" si="11"/>
        <v>0</v>
      </c>
      <c r="AH30" s="112">
        <f>IF(E30="",0,VLOOKUP(E30,Datenblatt!$E$2:$G$28,3,FALSE))</f>
        <v>0</v>
      </c>
    </row>
    <row r="31" spans="1:34" ht="13" customHeight="1">
      <c r="A31" s="89" t="str">
        <f>IF(ISERROR(VLOOKUP(C31,Datenblatt!$B$84:$B$97,1,FALSE)),"","Ft")</f>
        <v/>
      </c>
      <c r="B31" s="84">
        <f t="shared" si="0"/>
        <v>45400</v>
      </c>
      <c r="C31" s="86">
        <f t="shared" si="4"/>
        <v>45400</v>
      </c>
      <c r="D31" s="67"/>
      <c r="E31" s="67"/>
      <c r="F31" s="68"/>
      <c r="G31" s="69"/>
      <c r="H31" s="68"/>
      <c r="I31" s="68"/>
      <c r="J31" s="99"/>
      <c r="K31" s="21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20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10" t="str">
        <f>IF(D31="","",IF(E30="ND",VLOOKUP(D31,Datenblatt!$A$2:$C$31,3,FALSE)-1,IF(E30="ND12,5",VLOOKUP(D31,Datenblatt!$A$2:$C$31,3,FALSE)-0.5,VLOOKUP(D31,Datenblatt!$A$2:$C$31,3,FALSE))))</f>
        <v/>
      </c>
      <c r="N31" s="211" t="str">
        <f t="shared" si="2"/>
        <v/>
      </c>
      <c r="O31" s="211" t="str">
        <f t="shared" si="3"/>
        <v/>
      </c>
      <c r="P31" s="186">
        <f>IF(D31="",IF($P$47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$47="Freizeit",(-M31-J31+IF(ISNUMBER(N31),(N31*1.5),0)+IF(ISNUMBER(O31),(O31*2),0)+IF(OR(E31="ND",E31="ND12,5"),2,0)),(-M31-J31)),IF($P$47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103" t="str">
        <f>IF(D31="","",VLOOKUP(D31,Datenblatt!$A$2:$D$31,4,FALSE))</f>
        <v/>
      </c>
      <c r="R31" s="104" t="str">
        <f>IF(E31="","",VLOOKUP(E31,Datenblatt!$E$2:$G$28,2,FALSE))</f>
        <v/>
      </c>
      <c r="S31" s="105"/>
      <c r="T31" s="111">
        <f t="shared" si="5"/>
        <v>0</v>
      </c>
      <c r="U31" s="114">
        <f t="array" ref="U31">IF(T30=0,0,IF(AND((ROW(T30)=MATCH(TRUE,($T$1:$T$43)&gt;0,0)),(D30="ND")),IF(T30&lt;3,T30,3),IF(AND(ROW(T30)=MATCH(TRUE,($T$1:$T$43)&gt;0,0),D30="ND12,5"),IF(T30&lt;2.5,T30,2.5),IF(D30="ND12,5",2.5,(T30-V30-W30)))))</f>
        <v>0</v>
      </c>
      <c r="V31" s="112">
        <f t="array" ref="V31">IF(T31=0,0,IF(AND((ROW(T31)=MATCH(TRUE,($T$1:$T$43)&gt;0,0)),(D31="ND")),IF(AND(T31&gt;11,T31&lt;=25),T31-11,0),IF(AND(ROW(T31)=MATCH(TRUE,($T$1:$T$43)&gt;0,0),D31="ND12,5"),IF(AND(T31&gt;10.5,T31&lt;=12.5),T31-10.5,0),IF(D31="ND12,5",2,IF(T31&lt;14,T31,14)))))</f>
        <v>0</v>
      </c>
      <c r="W31" s="112">
        <f t="array" ref="W31">IF(T31=0,0,IF(AND((ROW(T31)=MATCH(TRUE,($T$1:$T$43)&gt;0,0)),(D31="ND")),IF(AND(T31&gt;3,T31&lt;11),T31-3,IF(T31&gt;=11,8,0)),IF(AND((ROW(T31)=MATCH(TRUE,($T$1:$T$43)&gt;0,0)),(D31="ND12,5")),IF(AND(T31&gt;2.5,T31&lt;10.5),T31-2.5,IF(T31&gt;=10.5,8,0)),IF(D31="ND12,5",8,IF(AND(T31&gt;14,T31&lt;22),(T31-V31),IF(T31&gt;=22,8,0))))))</f>
        <v>0</v>
      </c>
      <c r="X31" s="254">
        <f t="array" ref="X31">IF(T31=0,0,IF((AND((ROW(T31)=MATCH(TRUE,($T$1:$T$43)&gt;0,0)))),IF(W31&gt;=6,W31-6,0),IF(W31&gt;=2,2,W31)))</f>
        <v>0</v>
      </c>
      <c r="Y31" s="254">
        <f t="array" ref="Y31">IF(T30=0,0,(IF((AND((ROW(T30)=MATCH(TRUE,($T$1:$T$43)&gt;0,0)))),IF(W30&gt;=6,6,W30),IF(W30&gt;=2,W30-2,0))))</f>
        <v>0</v>
      </c>
      <c r="Z31" s="111" t="str">
        <f t="shared" si="6"/>
        <v/>
      </c>
      <c r="AA31" s="214">
        <f>IF(E30="ND",IF(ISERROR(MATCH(D31,Datenblatt!$L$2:$L$18,0)),3,2),IF(E30="ND12,5",IF(ISERROR(MATCH(D31,Datenblatt!$L$2:$L$18,0)),2.5,2),0))</f>
        <v>0</v>
      </c>
      <c r="AB31" s="214">
        <f>IF((IF(E31="ND",14-IF(D31="",0,VLOOKUP(D31,Datenblatt!$L$2:$M$30,2,FALSE)),IF(E31="ND12,5",2,0)))&lt;0,0,(IF(E31="ND",14-IF(D31="",0,VLOOKUP(D31,Datenblatt!$L$2:$M$30,2,FALSE)),IF(E31="ND12,5",2,0))))</f>
        <v>0</v>
      </c>
      <c r="AC31" s="214">
        <f t="shared" si="7"/>
        <v>0</v>
      </c>
      <c r="AD31" s="214">
        <f t="shared" si="8"/>
        <v>0</v>
      </c>
      <c r="AE31" s="214">
        <f t="shared" si="9"/>
        <v>0</v>
      </c>
      <c r="AF31" s="112">
        <f t="shared" si="10"/>
        <v>0</v>
      </c>
      <c r="AG31" s="112">
        <f t="shared" si="11"/>
        <v>0</v>
      </c>
      <c r="AH31" s="112">
        <f>IF(E31="",0,VLOOKUP(E31,Datenblatt!$E$2:$G$28,3,FALSE))</f>
        <v>0</v>
      </c>
    </row>
    <row r="32" spans="1:34" ht="13" customHeight="1">
      <c r="A32" s="89" t="str">
        <f>IF(ISERROR(VLOOKUP(C32,Datenblatt!$B$84:$B$97,1,FALSE)),"","Ft")</f>
        <v/>
      </c>
      <c r="B32" s="84">
        <f t="shared" si="0"/>
        <v>45401</v>
      </c>
      <c r="C32" s="86">
        <f t="shared" si="4"/>
        <v>45401</v>
      </c>
      <c r="D32" s="67"/>
      <c r="E32" s="67"/>
      <c r="F32" s="68"/>
      <c r="G32" s="69"/>
      <c r="H32" s="68"/>
      <c r="I32" s="68"/>
      <c r="J32" s="99"/>
      <c r="K32" s="21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20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10" t="str">
        <f>IF(D32="","",IF(E31="ND",VLOOKUP(D32,Datenblatt!$A$2:$C$31,3,FALSE)-1,IF(E31="ND12,5",VLOOKUP(D32,Datenblatt!$A$2:$C$31,3,FALSE)-0.5,VLOOKUP(D32,Datenblatt!$A$2:$C$31,3,FALSE))))</f>
        <v/>
      </c>
      <c r="N32" s="211" t="str">
        <f t="shared" si="2"/>
        <v/>
      </c>
      <c r="O32" s="211" t="str">
        <f t="shared" si="3"/>
        <v/>
      </c>
      <c r="P32" s="186">
        <f>IF(D32="",IF($P$47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$47="Freizeit",(-M32-J32+IF(ISNUMBER(N32),(N32*1.5),0)+IF(ISNUMBER(O32),(O32*2),0)+IF(OR(E32="ND",E32="ND12,5"),2,0)),(-M32-J32)),IF($P$47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103" t="str">
        <f>IF(D32="","",VLOOKUP(D32,Datenblatt!$A$2:$D$31,4,FALSE))</f>
        <v/>
      </c>
      <c r="R32" s="104" t="str">
        <f>IF(E32="","",VLOOKUP(E32,Datenblatt!$E$2:$G$28,2,FALSE))</f>
        <v/>
      </c>
      <c r="S32" s="105"/>
      <c r="T32" s="111">
        <f t="shared" si="5"/>
        <v>0</v>
      </c>
      <c r="U32" s="114">
        <f t="array" ref="U32">IF(T31=0,0,IF(AND((ROW(T31)=MATCH(TRUE,($T$1:$T$43)&gt;0,0)),(D31="ND")),IF(T31&lt;3,T31,3),IF(AND(ROW(T31)=MATCH(TRUE,($T$1:$T$43)&gt;0,0),D31="ND12,5"),IF(T31&lt;2.5,T31,2.5),IF(D31="ND12,5",2.5,(T31-V31-W31)))))</f>
        <v>0</v>
      </c>
      <c r="V32" s="112">
        <f t="array" ref="V32">IF(T32=0,0,IF(AND((ROW(T32)=MATCH(TRUE,($T$1:$T$43)&gt;0,0)),(D32="ND")),IF(AND(T32&gt;11,T32&lt;=25),T32-11,0),IF(AND(ROW(T32)=MATCH(TRUE,($T$1:$T$43)&gt;0,0),D32="ND12,5"),IF(AND(T32&gt;10.5,T32&lt;=12.5),T32-10.5,0),IF(D32="ND12,5",2,IF(T32&lt;14,T32,14)))))</f>
        <v>0</v>
      </c>
      <c r="W32" s="112">
        <f t="array" ref="W32">IF(T32=0,0,IF(AND((ROW(T32)=MATCH(TRUE,($T$1:$T$43)&gt;0,0)),(D32="ND")),IF(AND(T32&gt;3,T32&lt;11),T32-3,IF(T32&gt;=11,8,0)),IF(AND((ROW(T32)=MATCH(TRUE,($T$1:$T$43)&gt;0,0)),(D32="ND12,5")),IF(AND(T32&gt;2.5,T32&lt;10.5),T32-2.5,IF(T32&gt;=10.5,8,0)),IF(D32="ND12,5",8,IF(AND(T32&gt;14,T32&lt;22),(T32-V32),IF(T32&gt;=22,8,0))))))</f>
        <v>0</v>
      </c>
      <c r="X32" s="254">
        <f t="array" ref="X32">IF(T32=0,0,IF((AND((ROW(T32)=MATCH(TRUE,($T$1:$T$43)&gt;0,0)))),IF(W32&gt;=6,W32-6,0),IF(W32&gt;=2,2,W32)))</f>
        <v>0</v>
      </c>
      <c r="Y32" s="254">
        <f t="array" ref="Y32">IF(T31=0,0,(IF((AND((ROW(T31)=MATCH(TRUE,($T$1:$T$43)&gt;0,0)))),IF(W31&gt;=6,6,W31),IF(W31&gt;=2,W31-2,0))))</f>
        <v>0</v>
      </c>
      <c r="Z32" s="111" t="str">
        <f t="shared" si="6"/>
        <v/>
      </c>
      <c r="AA32" s="214">
        <f>IF(E31="ND",IF(ISERROR(MATCH(D32,Datenblatt!$L$2:$L$18,0)),3,2),IF(E31="ND12,5",IF(ISERROR(MATCH(D32,Datenblatt!$L$2:$L$18,0)),2.5,2),0))</f>
        <v>0</v>
      </c>
      <c r="AB32" s="214">
        <f>IF((IF(E32="ND",14-IF(D32="",0,VLOOKUP(D32,Datenblatt!$L$2:$M$30,2,FALSE)),IF(E32="ND12,5",2,0)))&lt;0,0,(IF(E32="ND",14-IF(D32="",0,VLOOKUP(D32,Datenblatt!$L$2:$M$30,2,FALSE)),IF(E32="ND12,5",2,0))))</f>
        <v>0</v>
      </c>
      <c r="AC32" s="214">
        <f t="shared" si="7"/>
        <v>0</v>
      </c>
      <c r="AD32" s="214">
        <f t="shared" si="8"/>
        <v>0</v>
      </c>
      <c r="AE32" s="214">
        <f t="shared" si="9"/>
        <v>0</v>
      </c>
      <c r="AF32" s="112">
        <f t="shared" si="10"/>
        <v>0</v>
      </c>
      <c r="AG32" s="112">
        <f t="shared" si="11"/>
        <v>0</v>
      </c>
      <c r="AH32" s="112">
        <f>IF(E32="",0,VLOOKUP(E32,Datenblatt!$E$2:$G$28,3,FALSE))</f>
        <v>0</v>
      </c>
    </row>
    <row r="33" spans="1:34" ht="13" customHeight="1">
      <c r="A33" s="89" t="str">
        <f>IF(ISERROR(VLOOKUP(C33,Datenblatt!$B$84:$B$97,1,FALSE)),"","Ft")</f>
        <v/>
      </c>
      <c r="B33" s="84">
        <f t="shared" si="0"/>
        <v>45402</v>
      </c>
      <c r="C33" s="86">
        <f t="shared" si="4"/>
        <v>45402</v>
      </c>
      <c r="D33" s="67"/>
      <c r="E33" s="67"/>
      <c r="F33" s="68"/>
      <c r="G33" s="69"/>
      <c r="H33" s="68"/>
      <c r="I33" s="68"/>
      <c r="J33" s="99"/>
      <c r="K33" s="21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20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10" t="str">
        <f>IF(D33="","",IF(E32="ND",VLOOKUP(D33,Datenblatt!$A$2:$C$31,3,FALSE)-1,IF(E32="ND12,5",VLOOKUP(D33,Datenblatt!$A$2:$C$31,3,FALSE)-0.5,VLOOKUP(D33,Datenblatt!$A$2:$C$31,3,FALSE))))</f>
        <v/>
      </c>
      <c r="N33" s="211" t="str">
        <f t="shared" si="2"/>
        <v/>
      </c>
      <c r="O33" s="211" t="str">
        <f t="shared" si="3"/>
        <v/>
      </c>
      <c r="P33" s="186">
        <f>IF(D33="",IF($P$47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$47="Freizeit",(-M33-J33+IF(ISNUMBER(N33),(N33*1.5),0)+IF(ISNUMBER(O33),(O33*2),0)+IF(OR(E33="ND",E33="ND12,5"),2,0)),(-M33-J33)),IF($P$47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103" t="str">
        <f>IF(D33="","",VLOOKUP(D33,Datenblatt!$A$2:$D$31,4,FALSE))</f>
        <v/>
      </c>
      <c r="R33" s="104" t="str">
        <f>IF(E33="","",VLOOKUP(E33,Datenblatt!$E$2:$G$28,2,FALSE))</f>
        <v/>
      </c>
      <c r="S33" s="105"/>
      <c r="T33" s="111">
        <f t="shared" ref="T33:T43" si="12">IF(K33="",0,K33)</f>
        <v>0</v>
      </c>
      <c r="U33" s="114">
        <f t="array" ref="U33">IF(T32=0,0,IF(AND((ROW(T32)=MATCH(TRUE,($T$1:$T$43)&gt;0,0)),(D32="ND")),IF(T32&lt;3,T32,3),IF(AND(ROW(T32)=MATCH(TRUE,($T$1:$T$43)&gt;0,0),D32="ND12,5"),IF(T32&lt;2.5,T32,2.5),IF(D32="ND12,5",2.5,(T32-V32-W32)))))</f>
        <v>0</v>
      </c>
      <c r="V33" s="112">
        <f t="array" ref="V33">IF(T33=0,0,IF(AND((ROW(T33)=MATCH(TRUE,($T$1:$T$43)&gt;0,0)),(D33="ND")),IF(AND(T33&gt;11,T33&lt;=25),T33-11,0),IF(AND(ROW(T33)=MATCH(TRUE,($T$1:$T$43)&gt;0,0),D33="ND12,5"),IF(AND(T33&gt;10.5,T33&lt;=12.5),T33-10.5,0),IF(D33="ND12,5",2,IF(T33&lt;14,T33,14)))))</f>
        <v>0</v>
      </c>
      <c r="W33" s="112">
        <f t="array" ref="W33">IF(T33=0,0,IF(AND((ROW(T33)=MATCH(TRUE,($T$1:$T$43)&gt;0,0)),(D33="ND")),IF(AND(T33&gt;3,T33&lt;11),T33-3,IF(T33&gt;=11,8,0)),IF(AND((ROW(T33)=MATCH(TRUE,($T$1:$T$43)&gt;0,0)),(D33="ND12,5")),IF(AND(T33&gt;2.5,T33&lt;10.5),T33-2.5,IF(T33&gt;=10.5,8,0)),IF(D33="ND12,5",8,IF(AND(T33&gt;14,T33&lt;22),(T33-V33),IF(T33&gt;=22,8,0))))))</f>
        <v>0</v>
      </c>
      <c r="X33" s="254">
        <f t="array" ref="X33">IF(T33=0,0,IF((AND((ROW(T33)=MATCH(TRUE,($T$1:$T$43)&gt;0,0)))),IF(W33&gt;=6,W33-6,0),IF(W33&gt;=2,2,W33)))</f>
        <v>0</v>
      </c>
      <c r="Y33" s="254">
        <f t="array" ref="Y33">IF(T32=0,0,(IF((AND((ROW(T32)=MATCH(TRUE,($T$1:$T$43)&gt;0,0)))),IF(W32&gt;=6,6,W32),IF(W32&gt;=2,W32-2,0))))</f>
        <v>0</v>
      </c>
      <c r="Z33" s="111" t="str">
        <f t="shared" si="6"/>
        <v/>
      </c>
      <c r="AA33" s="214">
        <f>IF(E32="ND",IF(ISERROR(MATCH(D33,Datenblatt!$L$2:$L$18,0)),3,2),IF(E32="ND12,5",IF(ISERROR(MATCH(D33,Datenblatt!$L$2:$L$18,0)),2.5,2),0))</f>
        <v>0</v>
      </c>
      <c r="AB33" s="214">
        <f>IF((IF(E33="ND",14-IF(D33="",0,VLOOKUP(D33,Datenblatt!$L$2:$M$30,2,FALSE)),IF(E33="ND12,5",2,0)))&lt;0,0,(IF(E33="ND",14-IF(D33="",0,VLOOKUP(D33,Datenblatt!$L$2:$M$30,2,FALSE)),IF(E33="ND12,5",2,0))))</f>
        <v>0</v>
      </c>
      <c r="AC33" s="214">
        <f t="shared" si="7"/>
        <v>0</v>
      </c>
      <c r="AD33" s="214">
        <f t="shared" si="8"/>
        <v>0</v>
      </c>
      <c r="AE33" s="214">
        <f t="shared" si="9"/>
        <v>0</v>
      </c>
      <c r="AF33" s="112">
        <f t="shared" si="10"/>
        <v>0</v>
      </c>
      <c r="AG33" s="112">
        <f t="shared" si="11"/>
        <v>0</v>
      </c>
      <c r="AH33" s="112">
        <f>IF(E33="",0,VLOOKUP(E33,Datenblatt!$E$2:$G$28,3,FALSE))</f>
        <v>0</v>
      </c>
    </row>
    <row r="34" spans="1:34" ht="13" customHeight="1">
      <c r="A34" s="89" t="str">
        <f>IF(ISERROR(VLOOKUP(C34,Datenblatt!$B$84:$B$97,1,FALSE)),"","Ft")</f>
        <v/>
      </c>
      <c r="B34" s="84">
        <f t="shared" si="0"/>
        <v>45403</v>
      </c>
      <c r="C34" s="86">
        <f t="shared" si="4"/>
        <v>45403</v>
      </c>
      <c r="D34" s="67"/>
      <c r="E34" s="67"/>
      <c r="F34" s="68"/>
      <c r="G34" s="69"/>
      <c r="H34" s="68"/>
      <c r="I34" s="68"/>
      <c r="J34" s="99"/>
      <c r="K34" s="21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20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10" t="str">
        <f>IF(D34="","",IF(E33="ND",VLOOKUP(D34,Datenblatt!$A$2:$C$31,3,FALSE)-1,IF(E33="ND12,5",VLOOKUP(D34,Datenblatt!$A$2:$C$31,3,FALSE)-0.5,VLOOKUP(D34,Datenblatt!$A$2:$C$31,3,FALSE))))</f>
        <v/>
      </c>
      <c r="N34" s="211" t="str">
        <f t="shared" si="2"/>
        <v/>
      </c>
      <c r="O34" s="211">
        <f t="shared" si="3"/>
        <v>0</v>
      </c>
      <c r="P34" s="186">
        <f>IF(D34="",IF($P$47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$47="Freizeit",(-M34-J34+IF(ISNUMBER(N34),(N34*1.5),0)+IF(ISNUMBER(O34),(O34*2),0)+IF(OR(E34="ND",E34="ND12,5"),2,0)),(-M34-J34)),IF($P$47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103" t="str">
        <f>IF(D34="","",VLOOKUP(D34,Datenblatt!$A$2:$D$31,4,FALSE))</f>
        <v/>
      </c>
      <c r="R34" s="104" t="str">
        <f>IF(E34="","",VLOOKUP(E34,Datenblatt!$E$2:$G$28,2,FALSE))</f>
        <v/>
      </c>
      <c r="S34" s="105"/>
      <c r="T34" s="111">
        <f t="shared" si="12"/>
        <v>0</v>
      </c>
      <c r="U34" s="114">
        <f t="array" ref="U34">IF(T33=0,0,IF(AND((ROW(T33)=MATCH(TRUE,($T$1:$T$43)&gt;0,0)),(D33="ND")),IF(T33&lt;3,T33,3),IF(AND(ROW(T33)=MATCH(TRUE,($T$1:$T$43)&gt;0,0),D33="ND12,5"),IF(T33&lt;2.5,T33,2.5),IF(D33="ND12,5",2.5,(T33-V33-W33)))))</f>
        <v>0</v>
      </c>
      <c r="V34" s="112">
        <f t="array" ref="V34">IF(T34=0,0,IF(AND((ROW(T34)=MATCH(TRUE,($T$1:$T$43)&gt;0,0)),(D34="ND")),IF(AND(T34&gt;11,T34&lt;=25),T34-11,0),IF(AND(ROW(T34)=MATCH(TRUE,($T$1:$T$43)&gt;0,0),D34="ND12,5"),IF(AND(T34&gt;10.5,T34&lt;=12.5),T34-10.5,0),IF(D34="ND12,5",2,IF(T34&lt;14,T34,14)))))</f>
        <v>0</v>
      </c>
      <c r="W34" s="112">
        <f t="array" ref="W34">IF(T34=0,0,IF(AND((ROW(T34)=MATCH(TRUE,($T$1:$T$43)&gt;0,0)),(D34="ND")),IF(AND(T34&gt;3,T34&lt;11),T34-3,IF(T34&gt;=11,8,0)),IF(AND((ROW(T34)=MATCH(TRUE,($T$1:$T$43)&gt;0,0)),(D34="ND12,5")),IF(AND(T34&gt;2.5,T34&lt;10.5),T34-2.5,IF(T34&gt;=10.5,8,0)),IF(D34="ND12,5",8,IF(AND(T34&gt;14,T34&lt;22),(T34-V34),IF(T34&gt;=22,8,0))))))</f>
        <v>0</v>
      </c>
      <c r="X34" s="254">
        <f t="array" ref="X34">IF(T34=0,0,IF((AND((ROW(T34)=MATCH(TRUE,($T$1:$T$43)&gt;0,0)))),IF(W34&gt;=6,W34-6,0),IF(W34&gt;=2,2,W34)))</f>
        <v>0</v>
      </c>
      <c r="Y34" s="254">
        <f t="array" ref="Y34">IF(T33=0,0,(IF((AND((ROW(T33)=MATCH(TRUE,($T$1:$T$43)&gt;0,0)))),IF(W33&gt;=6,6,W33),IF(W33&gt;=2,W33-2,0))))</f>
        <v>0</v>
      </c>
      <c r="Z34" s="111" t="str">
        <f t="shared" si="6"/>
        <v/>
      </c>
      <c r="AA34" s="214">
        <f>IF(E33="ND",IF(ISERROR(MATCH(D34,Datenblatt!$L$2:$L$18,0)),3,2),IF(E33="ND12,5",IF(ISERROR(MATCH(D34,Datenblatt!$L$2:$L$18,0)),2.5,2),0))</f>
        <v>0</v>
      </c>
      <c r="AB34" s="214">
        <f>IF((IF(E34="ND",14-IF(D34="",0,VLOOKUP(D34,Datenblatt!$L$2:$M$30,2,FALSE)),IF(E34="ND12,5",2,0)))&lt;0,0,(IF(E34="ND",14-IF(D34="",0,VLOOKUP(D34,Datenblatt!$L$2:$M$30,2,FALSE)),IF(E34="ND12,5",2,0))))</f>
        <v>0</v>
      </c>
      <c r="AC34" s="214">
        <f t="shared" si="7"/>
        <v>0</v>
      </c>
      <c r="AD34" s="214">
        <f t="shared" si="8"/>
        <v>0</v>
      </c>
      <c r="AE34" s="214">
        <f t="shared" si="9"/>
        <v>0</v>
      </c>
      <c r="AF34" s="112">
        <f t="shared" si="10"/>
        <v>0</v>
      </c>
      <c r="AG34" s="112">
        <f t="shared" si="11"/>
        <v>0</v>
      </c>
      <c r="AH34" s="112">
        <f>IF(E34="",0,VLOOKUP(E34,Datenblatt!$E$2:$G$28,3,FALSE))</f>
        <v>0</v>
      </c>
    </row>
    <row r="35" spans="1:34" ht="13" customHeight="1">
      <c r="A35" s="89" t="str">
        <f>IF(ISERROR(VLOOKUP(C35,Datenblatt!$B$84:$B$97,1,FALSE)),"","Ft")</f>
        <v/>
      </c>
      <c r="B35" s="84">
        <f t="shared" si="0"/>
        <v>45404</v>
      </c>
      <c r="C35" s="86">
        <f t="shared" si="4"/>
        <v>45404</v>
      </c>
      <c r="D35" s="67"/>
      <c r="E35" s="67"/>
      <c r="F35" s="68"/>
      <c r="G35" s="69"/>
      <c r="H35" s="68"/>
      <c r="I35" s="68"/>
      <c r="J35" s="99"/>
      <c r="K35" s="21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20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10" t="str">
        <f>IF(D35="","",IF(E34="ND",VLOOKUP(D35,Datenblatt!$A$2:$C$31,3,FALSE)-1,IF(E34="ND12,5",VLOOKUP(D35,Datenblatt!$A$2:$C$31,3,FALSE)-0.5,VLOOKUP(D35,Datenblatt!$A$2:$C$31,3,FALSE))))</f>
        <v/>
      </c>
      <c r="N35" s="211" t="str">
        <f t="shared" si="2"/>
        <v/>
      </c>
      <c r="O35" s="211" t="str">
        <f t="shared" si="3"/>
        <v/>
      </c>
      <c r="P35" s="186">
        <f>IF(D35="",IF($P$47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$47="Freizeit",(-M35-J35+IF(ISNUMBER(N35),(N35*1.5),0)+IF(ISNUMBER(O35),(O35*2),0)+IF(OR(E35="ND",E35="ND12,5"),2,0)),(-M35-J35)),IF($P$47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103" t="str">
        <f>IF(D35="","",VLOOKUP(D35,Datenblatt!$A$2:$D$31,4,FALSE))</f>
        <v/>
      </c>
      <c r="R35" s="104" t="str">
        <f>IF(E35="","",VLOOKUP(E35,Datenblatt!$E$2:$G$28,2,FALSE))</f>
        <v/>
      </c>
      <c r="S35" s="105"/>
      <c r="T35" s="111">
        <f t="shared" si="12"/>
        <v>0</v>
      </c>
      <c r="U35" s="114">
        <f t="array" ref="U35">IF(T34=0,0,IF(AND((ROW(T34)=MATCH(TRUE,($T$1:$T$43)&gt;0,0)),(D34="ND")),IF(T34&lt;3,T34,3),IF(AND(ROW(T34)=MATCH(TRUE,($T$1:$T$43)&gt;0,0),D34="ND12,5"),IF(T34&lt;2.5,T34,2.5),IF(D34="ND12,5",2.5,(T34-V34-W34)))))</f>
        <v>0</v>
      </c>
      <c r="V35" s="112">
        <f t="array" ref="V35">IF(T35=0,0,IF(AND((ROW(T35)=MATCH(TRUE,($T$1:$T$43)&gt;0,0)),(D35="ND")),IF(AND(T35&gt;11,T35&lt;=25),T35-11,0),IF(AND(ROW(T35)=MATCH(TRUE,($T$1:$T$43)&gt;0,0),D35="ND12,5"),IF(AND(T35&gt;10.5,T35&lt;=12.5),T35-10.5,0),IF(D35="ND12,5",2,IF(T35&lt;14,T35,14)))))</f>
        <v>0</v>
      </c>
      <c r="W35" s="112">
        <f t="array" ref="W35">IF(T35=0,0,IF(AND((ROW(T35)=MATCH(TRUE,($T$1:$T$43)&gt;0,0)),(D35="ND")),IF(AND(T35&gt;3,T35&lt;11),T35-3,IF(T35&gt;=11,8,0)),IF(AND((ROW(T35)=MATCH(TRUE,($T$1:$T$43)&gt;0,0)),(D35="ND12,5")),IF(AND(T35&gt;2.5,T35&lt;10.5),T35-2.5,IF(T35&gt;=10.5,8,0)),IF(D35="ND12,5",8,IF(AND(T35&gt;14,T35&lt;22),(T35-V35),IF(T35&gt;=22,8,0))))))</f>
        <v>0</v>
      </c>
      <c r="X35" s="254">
        <f t="array" ref="X35">IF(T35=0,0,IF((AND((ROW(T35)=MATCH(TRUE,($T$1:$T$43)&gt;0,0)))),IF(W35&gt;=6,W35-6,0),IF(W35&gt;=2,2,W35)))</f>
        <v>0</v>
      </c>
      <c r="Y35" s="254">
        <f t="array" ref="Y35">IF(T34=0,0,(IF((AND((ROW(T34)=MATCH(TRUE,($T$1:$T$43)&gt;0,0)))),IF(W34&gt;=6,6,W34),IF(W34&gt;=2,W34-2,0))))</f>
        <v>0</v>
      </c>
      <c r="Z35" s="111" t="str">
        <f t="shared" si="6"/>
        <v/>
      </c>
      <c r="AA35" s="214">
        <f>IF(E34="ND",IF(ISERROR(MATCH(D35,Datenblatt!$L$2:$L$18,0)),3,2),IF(E34="ND12,5",IF(ISERROR(MATCH(D35,Datenblatt!$L$2:$L$18,0)),2.5,2),0))</f>
        <v>0</v>
      </c>
      <c r="AB35" s="214">
        <f>IF((IF(E35="ND",14-IF(D35="",0,VLOOKUP(D35,Datenblatt!$L$2:$M$30,2,FALSE)),IF(E35="ND12,5",2,0)))&lt;0,0,(IF(E35="ND",14-IF(D35="",0,VLOOKUP(D35,Datenblatt!$L$2:$M$30,2,FALSE)),IF(E35="ND12,5",2,0))))</f>
        <v>0</v>
      </c>
      <c r="AC35" s="214">
        <f t="shared" si="7"/>
        <v>0</v>
      </c>
      <c r="AD35" s="214">
        <f t="shared" si="8"/>
        <v>0</v>
      </c>
      <c r="AE35" s="214">
        <f t="shared" si="9"/>
        <v>0</v>
      </c>
      <c r="AF35" s="112">
        <f t="shared" si="10"/>
        <v>0</v>
      </c>
      <c r="AG35" s="112">
        <f t="shared" si="11"/>
        <v>0</v>
      </c>
      <c r="AH35" s="112">
        <f>IF(E35="",0,VLOOKUP(E35,Datenblatt!$E$2:$G$28,3,FALSE))</f>
        <v>0</v>
      </c>
    </row>
    <row r="36" spans="1:34" ht="13" customHeight="1">
      <c r="A36" s="89" t="str">
        <f>IF(ISERROR(VLOOKUP(C36,Datenblatt!$B$84:$B$97,1,FALSE)),"","Ft")</f>
        <v/>
      </c>
      <c r="B36" s="84">
        <f t="shared" si="0"/>
        <v>45405</v>
      </c>
      <c r="C36" s="86">
        <f t="shared" si="4"/>
        <v>45405</v>
      </c>
      <c r="D36" s="67"/>
      <c r="E36" s="67"/>
      <c r="F36" s="68"/>
      <c r="G36" s="69"/>
      <c r="H36" s="68"/>
      <c r="I36" s="68"/>
      <c r="J36" s="99"/>
      <c r="K36" s="21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20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10" t="str">
        <f>IF(D36="","",IF(E35="ND",VLOOKUP(D36,Datenblatt!$A$2:$C$31,3,FALSE)-1,IF(E35="ND12,5",VLOOKUP(D36,Datenblatt!$A$2:$C$31,3,FALSE)-0.5,VLOOKUP(D36,Datenblatt!$A$2:$C$31,3,FALSE))))</f>
        <v/>
      </c>
      <c r="N36" s="211" t="str">
        <f t="shared" si="2"/>
        <v/>
      </c>
      <c r="O36" s="211" t="str">
        <f t="shared" si="3"/>
        <v/>
      </c>
      <c r="P36" s="186">
        <f>IF(D36="",IF($P$47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$47="Freizeit",(-M36-J36+IF(ISNUMBER(N36),(N36*1.5),0)+IF(ISNUMBER(O36),(O36*2),0)+IF(OR(E36="ND",E36="ND12,5"),2,0)),(-M36-J36)),IF($P$47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103" t="str">
        <f>IF(D36="","",VLOOKUP(D36,Datenblatt!$A$2:$D$31,4,FALSE))</f>
        <v/>
      </c>
      <c r="R36" s="104" t="str">
        <f>IF(E36="","",VLOOKUP(E36,Datenblatt!$E$2:$G$28,2,FALSE))</f>
        <v/>
      </c>
      <c r="S36" s="105"/>
      <c r="T36" s="111">
        <f t="shared" si="12"/>
        <v>0</v>
      </c>
      <c r="U36" s="114">
        <f t="array" ref="U36">IF(T35=0,0,IF(AND((ROW(T35)=MATCH(TRUE,($T$1:$T$43)&gt;0,0)),(D35="ND")),IF(T35&lt;3,T35,3),IF(AND(ROW(T35)=MATCH(TRUE,($T$1:$T$43)&gt;0,0),D35="ND12,5"),IF(T35&lt;2.5,T35,2.5),IF(D35="ND12,5",2.5,(T35-V35-W35)))))</f>
        <v>0</v>
      </c>
      <c r="V36" s="112">
        <f t="array" ref="V36">IF(T36=0,0,IF(AND((ROW(T36)=MATCH(TRUE,($T$1:$T$43)&gt;0,0)),(D36="ND")),IF(AND(T36&gt;11,T36&lt;=25),T36-11,0),IF(AND(ROW(T36)=MATCH(TRUE,($T$1:$T$43)&gt;0,0),D36="ND12,5"),IF(AND(T36&gt;10.5,T36&lt;=12.5),T36-10.5,0),IF(D36="ND12,5",2,IF(T36&lt;14,T36,14)))))</f>
        <v>0</v>
      </c>
      <c r="W36" s="112">
        <f t="array" ref="W36">IF(T36=0,0,IF(AND((ROW(T36)=MATCH(TRUE,($T$1:$T$43)&gt;0,0)),(D36="ND")),IF(AND(T36&gt;3,T36&lt;11),T36-3,IF(T36&gt;=11,8,0)),IF(AND((ROW(T36)=MATCH(TRUE,($T$1:$T$43)&gt;0,0)),(D36="ND12,5")),IF(AND(T36&gt;2.5,T36&lt;10.5),T36-2.5,IF(T36&gt;=10.5,8,0)),IF(D36="ND12,5",8,IF(AND(T36&gt;14,T36&lt;22),(T36-V36),IF(T36&gt;=22,8,0))))))</f>
        <v>0</v>
      </c>
      <c r="X36" s="254">
        <f t="array" ref="X36">IF(T36=0,0,IF((AND((ROW(T36)=MATCH(TRUE,($T$1:$T$43)&gt;0,0)))),IF(W36&gt;=6,W36-6,0),IF(W36&gt;=2,2,W36)))</f>
        <v>0</v>
      </c>
      <c r="Y36" s="254">
        <f t="array" ref="Y36">IF(T35=0,0,(IF((AND((ROW(T35)=MATCH(TRUE,($T$1:$T$43)&gt;0,0)))),IF(W35&gt;=6,6,W35),IF(W35&gt;=2,W35-2,0))))</f>
        <v>0</v>
      </c>
      <c r="Z36" s="111" t="str">
        <f t="shared" si="6"/>
        <v/>
      </c>
      <c r="AA36" s="214">
        <f>IF(E35="ND",IF(ISERROR(MATCH(D36,Datenblatt!$L$2:$L$18,0)),3,2),IF(E35="ND12,5",IF(ISERROR(MATCH(D36,Datenblatt!$L$2:$L$18,0)),2.5,2),0))</f>
        <v>0</v>
      </c>
      <c r="AB36" s="214">
        <f>IF((IF(E36="ND",14-IF(D36="",0,VLOOKUP(D36,Datenblatt!$L$2:$M$30,2,FALSE)),IF(E36="ND12,5",2,0)))&lt;0,0,(IF(E36="ND",14-IF(D36="",0,VLOOKUP(D36,Datenblatt!$L$2:$M$30,2,FALSE)),IF(E36="ND12,5",2,0))))</f>
        <v>0</v>
      </c>
      <c r="AC36" s="214">
        <f t="shared" si="7"/>
        <v>0</v>
      </c>
      <c r="AD36" s="214">
        <f t="shared" si="8"/>
        <v>0</v>
      </c>
      <c r="AE36" s="214">
        <f t="shared" si="9"/>
        <v>0</v>
      </c>
      <c r="AF36" s="112">
        <f t="shared" si="10"/>
        <v>0</v>
      </c>
      <c r="AG36" s="112">
        <f t="shared" si="11"/>
        <v>0</v>
      </c>
      <c r="AH36" s="112">
        <f>IF(E36="",0,VLOOKUP(E36,Datenblatt!$E$2:$G$28,3,FALSE))</f>
        <v>0</v>
      </c>
    </row>
    <row r="37" spans="1:34" ht="13" customHeight="1">
      <c r="A37" s="89" t="str">
        <f>IF(ISERROR(VLOOKUP(C37,Datenblatt!$B$84:$B$97,1,FALSE)),"","Ft")</f>
        <v/>
      </c>
      <c r="B37" s="84">
        <f t="shared" si="0"/>
        <v>45406</v>
      </c>
      <c r="C37" s="86">
        <f t="shared" si="4"/>
        <v>45406</v>
      </c>
      <c r="D37" s="67"/>
      <c r="E37" s="67"/>
      <c r="F37" s="68"/>
      <c r="G37" s="69"/>
      <c r="H37" s="68"/>
      <c r="I37" s="68"/>
      <c r="J37" s="99"/>
      <c r="K37" s="21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20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10" t="str">
        <f>IF(D37="","",IF(E36="ND",VLOOKUP(D37,Datenblatt!$A$2:$C$31,3,FALSE)-1,IF(E36="ND12,5",VLOOKUP(D37,Datenblatt!$A$2:$C$31,3,FALSE)-0.5,VLOOKUP(D37,Datenblatt!$A$2:$C$31,3,FALSE))))</f>
        <v/>
      </c>
      <c r="N37" s="211" t="str">
        <f t="shared" si="2"/>
        <v/>
      </c>
      <c r="O37" s="211" t="str">
        <f t="shared" si="3"/>
        <v/>
      </c>
      <c r="P37" s="186">
        <f>IF(D37="",IF($P$47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$47="Freizeit",(-M37-J37+IF(ISNUMBER(N37),(N37*1.5),0)+IF(ISNUMBER(O37),(O37*2),0)+IF(OR(E37="ND",E37="ND12,5"),2,0)),(-M37-J37)),IF($P$47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103" t="str">
        <f>IF(D37="","",VLOOKUP(D37,Datenblatt!$A$2:$D$31,4,FALSE))</f>
        <v/>
      </c>
      <c r="R37" s="104" t="str">
        <f>IF(E37="","",VLOOKUP(E37,Datenblatt!$E$2:$G$28,2,FALSE))</f>
        <v/>
      </c>
      <c r="S37" s="105"/>
      <c r="T37" s="111">
        <f t="shared" si="12"/>
        <v>0</v>
      </c>
      <c r="U37" s="114">
        <f t="array" ref="U37">IF(T36=0,0,IF(AND((ROW(T36)=MATCH(TRUE,($T$1:$T$43)&gt;0,0)),(D36="ND")),IF(T36&lt;3,T36,3),IF(AND(ROW(T36)=MATCH(TRUE,($T$1:$T$43)&gt;0,0),D36="ND12,5"),IF(T36&lt;2.5,T36,2.5),IF(D36="ND12,5",2.5,(T36-V36-W36)))))</f>
        <v>0</v>
      </c>
      <c r="V37" s="112">
        <f t="array" ref="V37">IF(T37=0,0,IF(AND((ROW(T37)=MATCH(TRUE,($T$1:$T$43)&gt;0,0)),(D37="ND")),IF(AND(T37&gt;11,T37&lt;=25),T37-11,0),IF(AND(ROW(T37)=MATCH(TRUE,($T$1:$T$43)&gt;0,0),D37="ND12,5"),IF(AND(T37&gt;10.5,T37&lt;=12.5),T37-10.5,0),IF(D37="ND12,5",2,IF(T37&lt;14,T37,14)))))</f>
        <v>0</v>
      </c>
      <c r="W37" s="112">
        <f t="array" ref="W37">IF(T37=0,0,IF(AND((ROW(T37)=MATCH(TRUE,($T$1:$T$43)&gt;0,0)),(D37="ND")),IF(AND(T37&gt;3,T37&lt;11),T37-3,IF(T37&gt;=11,8,0)),IF(AND((ROW(T37)=MATCH(TRUE,($T$1:$T$43)&gt;0,0)),(D37="ND12,5")),IF(AND(T37&gt;2.5,T37&lt;10.5),T37-2.5,IF(T37&gt;=10.5,8,0)),IF(D37="ND12,5",8,IF(AND(T37&gt;14,T37&lt;22),(T37-V37),IF(T37&gt;=22,8,0))))))</f>
        <v>0</v>
      </c>
      <c r="X37" s="254">
        <f t="array" ref="X37">IF(T37=0,0,IF((AND((ROW(T37)=MATCH(TRUE,($T$1:$T$43)&gt;0,0)))),IF(W37&gt;=6,W37-6,0),IF(W37&gt;=2,2,W37)))</f>
        <v>0</v>
      </c>
      <c r="Y37" s="254">
        <f t="array" ref="Y37">IF(T36=0,0,(IF((AND((ROW(T36)=MATCH(TRUE,($T$1:$T$43)&gt;0,0)))),IF(W36&gt;=6,6,W36),IF(W36&gt;=2,W36-2,0))))</f>
        <v>0</v>
      </c>
      <c r="Z37" s="111" t="str">
        <f t="shared" si="6"/>
        <v/>
      </c>
      <c r="AA37" s="214">
        <f>IF(E36="ND",IF(ISERROR(MATCH(D37,Datenblatt!$L$2:$L$18,0)),3,2),IF(E36="ND12,5",IF(ISERROR(MATCH(D37,Datenblatt!$L$2:$L$18,0)),2.5,2),0))</f>
        <v>0</v>
      </c>
      <c r="AB37" s="214">
        <f>IF((IF(E37="ND",14-IF(D37="",0,VLOOKUP(D37,Datenblatt!$L$2:$M$30,2,FALSE)),IF(E37="ND12,5",2,0)))&lt;0,0,(IF(E37="ND",14-IF(D37="",0,VLOOKUP(D37,Datenblatt!$L$2:$M$30,2,FALSE)),IF(E37="ND12,5",2,0))))</f>
        <v>0</v>
      </c>
      <c r="AC37" s="214">
        <f t="shared" si="7"/>
        <v>0</v>
      </c>
      <c r="AD37" s="214">
        <f t="shared" si="8"/>
        <v>0</v>
      </c>
      <c r="AE37" s="214">
        <f t="shared" si="9"/>
        <v>0</v>
      </c>
      <c r="AF37" s="112">
        <f t="shared" si="10"/>
        <v>0</v>
      </c>
      <c r="AG37" s="112">
        <f t="shared" si="11"/>
        <v>0</v>
      </c>
      <c r="AH37" s="112">
        <f>IF(E37="",0,VLOOKUP(E37,Datenblatt!$E$2:$G$28,3,FALSE))</f>
        <v>0</v>
      </c>
    </row>
    <row r="38" spans="1:34" ht="13" customHeight="1">
      <c r="A38" s="89" t="str">
        <f>IF(ISERROR(VLOOKUP(C38,Datenblatt!$B$84:$B$97,1,FALSE)),"","Ft")</f>
        <v/>
      </c>
      <c r="B38" s="84">
        <f t="shared" si="0"/>
        <v>45407</v>
      </c>
      <c r="C38" s="86">
        <f t="shared" si="4"/>
        <v>45407</v>
      </c>
      <c r="D38" s="67"/>
      <c r="E38" s="67"/>
      <c r="F38" s="68"/>
      <c r="G38" s="69"/>
      <c r="H38" s="68"/>
      <c r="I38" s="68"/>
      <c r="J38" s="99"/>
      <c r="K38" s="21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20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10" t="str">
        <f>IF(D38="","",IF(E37="ND",VLOOKUP(D38,Datenblatt!$A$2:$C$31,3,FALSE)-1,IF(E37="ND12,5",VLOOKUP(D38,Datenblatt!$A$2:$C$31,3,FALSE)-0.5,VLOOKUP(D38,Datenblatt!$A$2:$C$31,3,FALSE))))</f>
        <v/>
      </c>
      <c r="N38" s="211" t="str">
        <f t="shared" si="2"/>
        <v/>
      </c>
      <c r="O38" s="211" t="str">
        <f t="shared" si="3"/>
        <v/>
      </c>
      <c r="P38" s="186">
        <f>IF(D38="",IF($P$47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$47="Freizeit",(-M38-J38+IF(ISNUMBER(N38),(N38*1.5),0)+IF(ISNUMBER(O38),(O38*2),0)+IF(OR(E38="ND",E38="ND12,5"),2,0)),(-M38-J38)),IF($P$47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103" t="str">
        <f>IF(D38="","",VLOOKUP(D38,Datenblatt!$A$2:$D$31,4,FALSE))</f>
        <v/>
      </c>
      <c r="R38" s="104" t="str">
        <f>IF(E38="","",VLOOKUP(E38,Datenblatt!$E$2:$G$28,2,FALSE))</f>
        <v/>
      </c>
      <c r="S38" s="105"/>
      <c r="T38" s="111">
        <f t="shared" si="12"/>
        <v>0</v>
      </c>
      <c r="U38" s="114">
        <f t="array" ref="U38">IF(T37=0,0,IF(AND((ROW(T37)=MATCH(TRUE,($T$1:$T$43)&gt;0,0)),(D37="ND")),IF(T37&lt;3,T37,3),IF(AND(ROW(T37)=MATCH(TRUE,($T$1:$T$43)&gt;0,0),D37="ND12,5"),IF(T37&lt;2.5,T37,2.5),IF(D37="ND12,5",2.5,(T37-V37-W37)))))</f>
        <v>0</v>
      </c>
      <c r="V38" s="112">
        <f t="array" ref="V38">IF(T38=0,0,IF(AND((ROW(T38)=MATCH(TRUE,($T$1:$T$43)&gt;0,0)),(D38="ND")),IF(AND(T38&gt;11,T38&lt;=25),T38-11,0),IF(AND(ROW(T38)=MATCH(TRUE,($T$1:$T$43)&gt;0,0),D38="ND12,5"),IF(AND(T38&gt;10.5,T38&lt;=12.5),T38-10.5,0),IF(D38="ND12,5",2,IF(T38&lt;14,T38,14)))))</f>
        <v>0</v>
      </c>
      <c r="W38" s="112">
        <f t="array" ref="W38">IF(T38=0,0,IF(AND((ROW(T38)=MATCH(TRUE,($T$1:$T$43)&gt;0,0)),(D38="ND")),IF(AND(T38&gt;3,T38&lt;11),T38-3,IF(T38&gt;=11,8,0)),IF(AND((ROW(T38)=MATCH(TRUE,($T$1:$T$43)&gt;0,0)),(D38="ND12,5")),IF(AND(T38&gt;2.5,T38&lt;10.5),T38-2.5,IF(T38&gt;=10.5,8,0)),IF(D38="ND12,5",8,IF(AND(T38&gt;14,T38&lt;22),(T38-V38),IF(T38&gt;=22,8,0))))))</f>
        <v>0</v>
      </c>
      <c r="X38" s="254">
        <f t="array" ref="X38">IF(T38=0,0,IF((AND((ROW(T38)=MATCH(TRUE,($T$1:$T$43)&gt;0,0)))),IF(W38&gt;=6,W38-6,0),IF(W38&gt;=2,2,W38)))</f>
        <v>0</v>
      </c>
      <c r="Y38" s="254">
        <f t="array" ref="Y38">IF(T37=0,0,(IF((AND((ROW(T37)=MATCH(TRUE,($T$1:$T$43)&gt;0,0)))),IF(W37&gt;=6,6,W37),IF(W37&gt;=2,W37-2,0))))</f>
        <v>0</v>
      </c>
      <c r="Z38" s="111" t="str">
        <f t="shared" si="6"/>
        <v/>
      </c>
      <c r="AA38" s="214">
        <f>IF(E37="ND",IF(ISERROR(MATCH(D38,Datenblatt!$L$2:$L$18,0)),3,2),IF(E37="ND12,5",IF(ISERROR(MATCH(D38,Datenblatt!$L$2:$L$18,0)),2.5,2),0))</f>
        <v>0</v>
      </c>
      <c r="AB38" s="214">
        <f>IF((IF(E38="ND",14-IF(D38="",0,VLOOKUP(D38,Datenblatt!$L$2:$M$30,2,FALSE)),IF(E38="ND12,5",2,0)))&lt;0,0,(IF(E38="ND",14-IF(D38="",0,VLOOKUP(D38,Datenblatt!$L$2:$M$30,2,FALSE)),IF(E38="ND12,5",2,0))))</f>
        <v>0</v>
      </c>
      <c r="AC38" s="214">
        <f t="shared" si="7"/>
        <v>0</v>
      </c>
      <c r="AD38" s="214">
        <f t="shared" si="8"/>
        <v>0</v>
      </c>
      <c r="AE38" s="214">
        <f t="shared" si="9"/>
        <v>0</v>
      </c>
      <c r="AF38" s="112">
        <f t="shared" si="10"/>
        <v>0</v>
      </c>
      <c r="AG38" s="112">
        <f t="shared" si="11"/>
        <v>0</v>
      </c>
      <c r="AH38" s="112">
        <f>IF(E38="",0,VLOOKUP(E38,Datenblatt!$E$2:$G$28,3,FALSE))</f>
        <v>0</v>
      </c>
    </row>
    <row r="39" spans="1:34" ht="13" customHeight="1">
      <c r="A39" s="89" t="str">
        <f>IF(ISERROR(VLOOKUP(C39,Datenblatt!$B$84:$B$97,1,FALSE)),"","Ft")</f>
        <v/>
      </c>
      <c r="B39" s="84">
        <f t="shared" si="0"/>
        <v>45408</v>
      </c>
      <c r="C39" s="86">
        <f t="shared" si="4"/>
        <v>45408</v>
      </c>
      <c r="D39" s="67"/>
      <c r="E39" s="67"/>
      <c r="F39" s="68"/>
      <c r="G39" s="69"/>
      <c r="H39" s="68"/>
      <c r="I39" s="68"/>
      <c r="J39" s="99"/>
      <c r="K39" s="21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20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10" t="str">
        <f>IF(D39="","",IF(E38="ND",VLOOKUP(D39,Datenblatt!$A$2:$C$31,3,FALSE)-1,IF(E38="ND12,5",VLOOKUP(D39,Datenblatt!$A$2:$C$31,3,FALSE)-0.5,VLOOKUP(D39,Datenblatt!$A$2:$C$31,3,FALSE))))</f>
        <v/>
      </c>
      <c r="N39" s="211" t="str">
        <f t="shared" si="2"/>
        <v/>
      </c>
      <c r="O39" s="211" t="str">
        <f t="shared" si="3"/>
        <v/>
      </c>
      <c r="P39" s="186">
        <f>IF(D39="",IF($P$47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$47="Freizeit",(-M39-J39+IF(ISNUMBER(N39),(N39*1.5),0)+IF(ISNUMBER(O39),(O39*2),0)+IF(OR(E39="ND",E39="ND12,5"),2,0)),(-M39-J39)),IF($P$47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103" t="str">
        <f>IF(D39="","",VLOOKUP(D39,Datenblatt!$A$2:$D$31,4,FALSE))</f>
        <v/>
      </c>
      <c r="R39" s="104" t="str">
        <f>IF(E39="","",VLOOKUP(E39,Datenblatt!$E$2:$G$28,2,FALSE))</f>
        <v/>
      </c>
      <c r="S39" s="105"/>
      <c r="T39" s="111">
        <f t="shared" si="12"/>
        <v>0</v>
      </c>
      <c r="U39" s="114">
        <f t="array" ref="U39">IF(T38=0,0,IF(AND((ROW(T38)=MATCH(TRUE,($T$1:$T$43)&gt;0,0)),(D38="ND")),IF(T38&lt;3,T38,3),IF(AND(ROW(T38)=MATCH(TRUE,($T$1:$T$43)&gt;0,0),D38="ND12,5"),IF(T38&lt;2.5,T38,2.5),IF(D38="ND12,5",2.5,(T38-V38-W38)))))</f>
        <v>0</v>
      </c>
      <c r="V39" s="112">
        <f t="array" ref="V39">IF(T39=0,0,IF(AND((ROW(T39)=MATCH(TRUE,($T$1:$T$43)&gt;0,0)),(D39="ND")),IF(AND(T39&gt;11,T39&lt;=25),T39-11,0),IF(AND(ROW(T39)=MATCH(TRUE,($T$1:$T$43)&gt;0,0),D39="ND12,5"),IF(AND(T39&gt;10.5,T39&lt;=12.5),T39-10.5,0),IF(D39="ND12,5",2,IF(T39&lt;14,T39,14)))))</f>
        <v>0</v>
      </c>
      <c r="W39" s="112">
        <f t="array" ref="W39">IF(T39=0,0,IF(AND((ROW(T39)=MATCH(TRUE,($T$1:$T$43)&gt;0,0)),(D39="ND")),IF(AND(T39&gt;3,T39&lt;11),T39-3,IF(T39&gt;=11,8,0)),IF(AND((ROW(T39)=MATCH(TRUE,($T$1:$T$43)&gt;0,0)),(D39="ND12,5")),IF(AND(T39&gt;2.5,T39&lt;10.5),T39-2.5,IF(T39&gt;=10.5,8,0)),IF(D39="ND12,5",8,IF(AND(T39&gt;14,T39&lt;22),(T39-V39),IF(T39&gt;=22,8,0))))))</f>
        <v>0</v>
      </c>
      <c r="X39" s="254">
        <f t="array" ref="X39">IF(T39=0,0,IF((AND((ROW(T39)=MATCH(TRUE,($T$1:$T$43)&gt;0,0)))),IF(W39&gt;=6,W39-6,0),IF(W39&gt;=2,2,W39)))</f>
        <v>0</v>
      </c>
      <c r="Y39" s="254">
        <f t="array" ref="Y39">IF(T38=0,0,(IF((AND((ROW(T38)=MATCH(TRUE,($T$1:$T$43)&gt;0,0)))),IF(W38&gt;=6,6,W38),IF(W38&gt;=2,W38-2,0))))</f>
        <v>0</v>
      </c>
      <c r="Z39" s="111" t="str">
        <f t="shared" si="6"/>
        <v/>
      </c>
      <c r="AA39" s="214">
        <f>IF(E38="ND",IF(ISERROR(MATCH(D39,Datenblatt!$L$2:$L$18,0)),3,2),IF(E38="ND12,5",IF(ISERROR(MATCH(D39,Datenblatt!$L$2:$L$18,0)),2.5,2),0))</f>
        <v>0</v>
      </c>
      <c r="AB39" s="214">
        <f>IF((IF(E39="ND",14-IF(D39="",0,VLOOKUP(D39,Datenblatt!$L$2:$M$30,2,FALSE)),IF(E39="ND12,5",2,0)))&lt;0,0,(IF(E39="ND",14-IF(D39="",0,VLOOKUP(D39,Datenblatt!$L$2:$M$30,2,FALSE)),IF(E39="ND12,5",2,0))))</f>
        <v>0</v>
      </c>
      <c r="AC39" s="214">
        <f t="shared" si="7"/>
        <v>0</v>
      </c>
      <c r="AD39" s="214">
        <f t="shared" si="8"/>
        <v>0</v>
      </c>
      <c r="AE39" s="214">
        <f t="shared" si="9"/>
        <v>0</v>
      </c>
      <c r="AF39" s="112">
        <f t="shared" si="10"/>
        <v>0</v>
      </c>
      <c r="AG39" s="112">
        <f t="shared" si="11"/>
        <v>0</v>
      </c>
      <c r="AH39" s="112">
        <f>IF(E39="",0,VLOOKUP(E39,Datenblatt!$E$2:$G$28,3,FALSE))</f>
        <v>0</v>
      </c>
    </row>
    <row r="40" spans="1:34" ht="13" customHeight="1">
      <c r="A40" s="89" t="str">
        <f>IF(ISERROR(VLOOKUP(C40,Datenblatt!$B$84:$B$97,1,FALSE)),"","Ft")</f>
        <v/>
      </c>
      <c r="B40" s="84">
        <f t="shared" si="0"/>
        <v>45409</v>
      </c>
      <c r="C40" s="86">
        <f t="shared" si="4"/>
        <v>45409</v>
      </c>
      <c r="D40" s="67"/>
      <c r="E40" s="67"/>
      <c r="F40" s="68"/>
      <c r="G40" s="69"/>
      <c r="H40" s="68"/>
      <c r="I40" s="68"/>
      <c r="J40" s="99"/>
      <c r="K40" s="21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20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10" t="str">
        <f>IF(D40="","",IF(E39="ND",VLOOKUP(D40,Datenblatt!$A$2:$C$31,3,FALSE)-1,IF(E39="ND12,5",VLOOKUP(D40,Datenblatt!$A$2:$C$31,3,FALSE)-0.5,VLOOKUP(D40,Datenblatt!$A$2:$C$31,3,FALSE))))</f>
        <v/>
      </c>
      <c r="N40" s="211" t="str">
        <f t="shared" si="2"/>
        <v/>
      </c>
      <c r="O40" s="211" t="str">
        <f t="shared" si="3"/>
        <v/>
      </c>
      <c r="P40" s="186">
        <f>IF(D40="",IF($P$47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$47="Freizeit",(-M40-J40+IF(ISNUMBER(N40),(N40*1.5),0)+IF(ISNUMBER(O40),(O40*2),0)+IF(OR(E40="ND",E40="ND12,5"),2,0)),(-M40-J40)),IF($P$47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103" t="str">
        <f>IF(D40="","",VLOOKUP(D40,Datenblatt!$A$2:$D$31,4,FALSE))</f>
        <v/>
      </c>
      <c r="R40" s="104" t="str">
        <f>IF(E40="","",VLOOKUP(E40,Datenblatt!$E$2:$G$28,2,FALSE))</f>
        <v/>
      </c>
      <c r="S40" s="106"/>
      <c r="T40" s="111">
        <f t="shared" si="12"/>
        <v>0</v>
      </c>
      <c r="U40" s="114">
        <f t="array" ref="U40">IF(T39=0,0,IF(AND((ROW(T39)=MATCH(TRUE,($T$1:$T$43)&gt;0,0)),(D39="ND")),IF(T39&lt;3,T39,3),IF(AND(ROW(T39)=MATCH(TRUE,($T$1:$T$43)&gt;0,0),D39="ND12,5"),IF(T39&lt;2.5,T39,2.5),IF(D39="ND12,5",2.5,(T39-V39-W39)))))</f>
        <v>0</v>
      </c>
      <c r="V40" s="112">
        <f t="array" ref="V40">IF(T40=0,0,IF(AND((ROW(T40)=MATCH(TRUE,($T$1:$T$43)&gt;0,0)),(D40="ND")),IF(AND(T40&gt;11,T40&lt;=25),T40-11,0),IF(AND(ROW(T40)=MATCH(TRUE,($T$1:$T$43)&gt;0,0),D40="ND12,5"),IF(AND(T40&gt;10.5,T40&lt;=12.5),T40-10.5,0),IF(D40="ND12,5",2,IF(T40&lt;14,T40,14)))))</f>
        <v>0</v>
      </c>
      <c r="W40" s="112">
        <f t="array" ref="W40">IF(T40=0,0,IF(AND((ROW(T40)=MATCH(TRUE,($T$1:$T$43)&gt;0,0)),(D40="ND")),IF(AND(T40&gt;3,T40&lt;11),T40-3,IF(T40&gt;=11,8,0)),IF(AND((ROW(T40)=MATCH(TRUE,($T$1:$T$43)&gt;0,0)),(D40="ND12,5")),IF(AND(T40&gt;2.5,T40&lt;10.5),T40-2.5,IF(T40&gt;=10.5,8,0)),IF(D40="ND12,5",8,IF(AND(T40&gt;14,T40&lt;22),(T40-V40),IF(T40&gt;=22,8,0))))))</f>
        <v>0</v>
      </c>
      <c r="X40" s="254">
        <f t="array" ref="X40">IF(T40=0,0,IF((AND((ROW(T40)=MATCH(TRUE,($T$1:$T$43)&gt;0,0)))),IF(W40&gt;=6,W40-6,0),IF(W40&gt;=2,2,W40)))</f>
        <v>0</v>
      </c>
      <c r="Y40" s="254">
        <f t="array" ref="Y40">IF(T39=0,0,(IF((AND((ROW(T39)=MATCH(TRUE,($T$1:$T$43)&gt;0,0)))),IF(W39&gt;=6,6,W39),IF(W39&gt;=2,W39-2,0))))</f>
        <v>0</v>
      </c>
      <c r="Z40" s="111" t="str">
        <f t="shared" si="6"/>
        <v/>
      </c>
      <c r="AA40" s="214">
        <f>IF(E39="ND",IF(ISERROR(MATCH(D40,Datenblatt!$L$2:$L$18,0)),3,2),IF(E39="ND12,5",IF(ISERROR(MATCH(D40,Datenblatt!$L$2:$L$18,0)),2.5,2),0))</f>
        <v>0</v>
      </c>
      <c r="AB40" s="214">
        <f>IF((IF(E40="ND",14-IF(D40="",0,VLOOKUP(D40,Datenblatt!$L$2:$M$30,2,FALSE)),IF(E40="ND12,5",2,0)))&lt;0,0,(IF(E40="ND",14-IF(D40="",0,VLOOKUP(D40,Datenblatt!$L$2:$M$30,2,FALSE)),IF(E40="ND12,5",2,0))))</f>
        <v>0</v>
      </c>
      <c r="AC40" s="214">
        <f t="shared" si="7"/>
        <v>0</v>
      </c>
      <c r="AD40" s="214">
        <f t="shared" si="8"/>
        <v>0</v>
      </c>
      <c r="AE40" s="214">
        <f t="shared" si="9"/>
        <v>0</v>
      </c>
      <c r="AF40" s="112">
        <f t="shared" si="10"/>
        <v>0</v>
      </c>
      <c r="AG40" s="112">
        <f t="shared" si="11"/>
        <v>0</v>
      </c>
      <c r="AH40" s="112">
        <f>IF(E40="",0,VLOOKUP(E40,Datenblatt!$E$2:$G$28,3,FALSE))</f>
        <v>0</v>
      </c>
    </row>
    <row r="41" spans="1:34" ht="13" customHeight="1">
      <c r="A41" s="89" t="str">
        <f>IF(ISERROR(VLOOKUP(C41,Datenblatt!$B$84:$B$97,1,FALSE)),"","Ft")</f>
        <v/>
      </c>
      <c r="B41" s="84">
        <f t="shared" si="0"/>
        <v>45410</v>
      </c>
      <c r="C41" s="86">
        <f t="shared" si="4"/>
        <v>45410</v>
      </c>
      <c r="D41" s="67"/>
      <c r="E41" s="67"/>
      <c r="F41" s="68"/>
      <c r="G41" s="69"/>
      <c r="H41" s="68"/>
      <c r="I41" s="68"/>
      <c r="J41" s="99"/>
      <c r="K41" s="21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20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10" t="str">
        <f>IF(D41="","",IF(E40="ND",VLOOKUP(D41,Datenblatt!$A$2:$C$31,3,FALSE)-1,IF(E40="ND12,5",VLOOKUP(D41,Datenblatt!$A$2:$C$31,3,FALSE)-0.5,VLOOKUP(D41,Datenblatt!$A$2:$C$31,3,FALSE))))</f>
        <v/>
      </c>
      <c r="N41" s="211" t="str">
        <f t="shared" si="2"/>
        <v/>
      </c>
      <c r="O41" s="211">
        <f t="shared" si="3"/>
        <v>0</v>
      </c>
      <c r="P41" s="186">
        <f>IF(D41="",IF($P$47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$47="Freizeit",(-M41-J41+IF(ISNUMBER(N41),(N41*1.5),0)+IF(ISNUMBER(O41),(O41*2),0)+IF(OR(E41="ND",E41="ND12,5"),2,0)),(-M41-J41)),IF($P$47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103" t="str">
        <f>IF(D41="","",VLOOKUP(D41,Datenblatt!$A$2:$D$31,4,FALSE))</f>
        <v/>
      </c>
      <c r="R41" s="104" t="str">
        <f>IF(E41="","",VLOOKUP(E41,Datenblatt!$E$2:$G$28,2,FALSE))</f>
        <v/>
      </c>
      <c r="S41" s="106"/>
      <c r="T41" s="111">
        <f t="shared" si="12"/>
        <v>0</v>
      </c>
      <c r="U41" s="114">
        <f t="array" ref="U41">IF(T40=0,0,IF(AND((ROW(T40)=MATCH(TRUE,($T$1:$T$43)&gt;0,0)),(D40="ND")),IF(T40&lt;3,T40,3),IF(AND(ROW(T40)=MATCH(TRUE,($T$1:$T$43)&gt;0,0),D40="ND12,5"),IF(T40&lt;2.5,T40,2.5),IF(D40="ND12,5",2.5,(T40-V40-W40)))))</f>
        <v>0</v>
      </c>
      <c r="V41" s="112">
        <f t="array" ref="V41">IF(T41=0,0,IF(AND((ROW(T41)=MATCH(TRUE,($T$1:$T$43)&gt;0,0)),(D41="ND")),IF(AND(T41&gt;11,T41&lt;=25),T41-11,0),IF(AND(ROW(T41)=MATCH(TRUE,($T$1:$T$43)&gt;0,0),D41="ND12,5"),IF(AND(T41&gt;10.5,T41&lt;=12.5),T41-10.5,0),IF(D41="ND12,5",2,IF(T41&lt;14,T41,14)))))</f>
        <v>0</v>
      </c>
      <c r="W41" s="112">
        <f t="array" ref="W41">IF(T41=0,0,IF(AND((ROW(T41)=MATCH(TRUE,($T$1:$T$43)&gt;0,0)),(D41="ND")),IF(AND(T41&gt;3,T41&lt;11),T41-3,IF(T41&gt;=11,8,0)),IF(AND((ROW(T41)=MATCH(TRUE,($T$1:$T$43)&gt;0,0)),(D41="ND12,5")),IF(AND(T41&gt;2.5,T41&lt;10.5),T41-2.5,IF(T41&gt;=10.5,8,0)),IF(D41="ND12,5",8,IF(AND(T41&gt;14,T41&lt;22),(T41-V41),IF(T41&gt;=22,8,0))))))</f>
        <v>0</v>
      </c>
      <c r="X41" s="254">
        <f t="array" ref="X41">IF(T41=0,0,IF((AND((ROW(T41)=MATCH(TRUE,($T$1:$T$43)&gt;0,0)))),IF(W41&gt;=6,W41-6,0),IF(W41&gt;=2,2,W41)))</f>
        <v>0</v>
      </c>
      <c r="Y41" s="254">
        <f t="array" ref="Y41">IF(T40=0,0,(IF((AND((ROW(T40)=MATCH(TRUE,($T$1:$T$43)&gt;0,0)))),IF(W40&gt;=6,6,W40),IF(W40&gt;=2,W40-2,0))))</f>
        <v>0</v>
      </c>
      <c r="Z41" s="111" t="str">
        <f t="shared" si="6"/>
        <v/>
      </c>
      <c r="AA41" s="214">
        <f>IF(E40="ND",IF(ISERROR(MATCH(D41,Datenblatt!$L$2:$L$18,0)),3,2),IF(E40="ND12,5",IF(ISERROR(MATCH(D41,Datenblatt!$L$2:$L$18,0)),2.5,2),0))</f>
        <v>0</v>
      </c>
      <c r="AB41" s="214">
        <f>IF((IF(E41="ND",14-IF(D41="",0,VLOOKUP(D41,Datenblatt!$L$2:$M$30,2,FALSE)),IF(E41="ND12,5",2,0)))&lt;0,0,(IF(E41="ND",14-IF(D41="",0,VLOOKUP(D41,Datenblatt!$L$2:$M$30,2,FALSE)),IF(E41="ND12,5",2,0))))</f>
        <v>0</v>
      </c>
      <c r="AC41" s="214">
        <f t="shared" si="7"/>
        <v>0</v>
      </c>
      <c r="AD41" s="214">
        <f t="shared" si="8"/>
        <v>0</v>
      </c>
      <c r="AE41" s="214">
        <f t="shared" si="9"/>
        <v>0</v>
      </c>
      <c r="AF41" s="112">
        <f t="shared" si="10"/>
        <v>0</v>
      </c>
      <c r="AG41" s="112">
        <f t="shared" si="11"/>
        <v>0</v>
      </c>
      <c r="AH41" s="112">
        <f>IF(E41="",0,VLOOKUP(E41,Datenblatt!$E$2:$G$28,3,FALSE))</f>
        <v>0</v>
      </c>
    </row>
    <row r="42" spans="1:34" ht="13" customHeight="1">
      <c r="A42" s="89" t="str">
        <f>IF(ISERROR(VLOOKUP(C42,Datenblatt!$B$84:$B$97,1,FALSE)),"","Ft")</f>
        <v/>
      </c>
      <c r="B42" s="84">
        <f t="shared" si="0"/>
        <v>45411</v>
      </c>
      <c r="C42" s="87">
        <f>C41+1</f>
        <v>45411</v>
      </c>
      <c r="D42" s="67"/>
      <c r="E42" s="67"/>
      <c r="F42" s="68"/>
      <c r="G42" s="69"/>
      <c r="H42" s="68"/>
      <c r="I42" s="68"/>
      <c r="J42" s="99"/>
      <c r="K42" s="21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20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10" t="str">
        <f>IF(D42="","",IF(E41="ND",VLOOKUP(D42,Datenblatt!$A$2:$C$31,3,FALSE)-1,IF(E41="ND12,5",VLOOKUP(D42,Datenblatt!$A$2:$C$31,3,FALSE)-0.5,VLOOKUP(D42,Datenblatt!$A$2:$C$31,3,FALSE))))</f>
        <v/>
      </c>
      <c r="N42" s="211" t="str">
        <f t="shared" si="2"/>
        <v/>
      </c>
      <c r="O42" s="211" t="str">
        <f t="shared" si="3"/>
        <v/>
      </c>
      <c r="P42" s="186">
        <f>IF(D42="",IF($P$47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$47="Freizeit",(-M42-J42+IF(ISNUMBER(N42),(N42*1.5),0)+IF(ISNUMBER(O42),(O42*2),0)+IF(OR(E42="ND",E42="ND12,5"),2,0)),(-M42-J42)),IF($P$47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103" t="str">
        <f>IF(D42="","",VLOOKUP(D42,Datenblatt!$A$2:$D$31,4,FALSE))</f>
        <v/>
      </c>
      <c r="R42" s="104" t="str">
        <f>IF(E42="","",VLOOKUP(E42,Datenblatt!$E$2:$G$28,2,FALSE))</f>
        <v/>
      </c>
      <c r="S42" s="107"/>
      <c r="T42" s="111">
        <f t="shared" si="12"/>
        <v>0</v>
      </c>
      <c r="U42" s="114">
        <f t="array" ref="U42">IF(T41=0,0,IF(AND((ROW(T41)=MATCH(TRUE,($T$1:$T$43)&gt;0,0)),(D41="ND")),IF(T41&lt;3,T41,3),IF(AND(ROW(T41)=MATCH(TRUE,($T$1:$T$43)&gt;0,0),D41="ND12,5"),IF(T41&lt;2.5,T41,2.5),IF(D41="ND12,5",2.5,(T41-V41-W41)))))</f>
        <v>0</v>
      </c>
      <c r="V42" s="112">
        <f t="array" ref="V42">IF(T42=0,0,IF(AND((ROW(T42)=MATCH(TRUE,($T$1:$T$43)&gt;0,0)),(D42="ND")),IF(AND(T42&gt;11,T42&lt;=25),T42-11,0),IF(AND(ROW(T42)=MATCH(TRUE,($T$1:$T$43)&gt;0,0),D42="ND12,5"),IF(AND(T42&gt;10.5,T42&lt;=12.5),T42-10.5,0),IF(D42="ND12,5",2,IF(T42&lt;14,T42,14)))))</f>
        <v>0</v>
      </c>
      <c r="W42" s="112">
        <f t="array" ref="W42">IF(T42=0,0,IF(AND((ROW(T42)=MATCH(TRUE,($T$1:$T$43)&gt;0,0)),(D42="ND")),IF(AND(T42&gt;3,T42&lt;11),T42-3,IF(T42&gt;=11,8,0)),IF(AND((ROW(T42)=MATCH(TRUE,($T$1:$T$43)&gt;0,0)),(D42="ND12,5")),IF(AND(T42&gt;2.5,T42&lt;10.5),T42-2.5,IF(T42&gt;=10.5,8,0)),IF(D42="ND12,5",8,IF(AND(T42&gt;14,T42&lt;22),(T42-V42),IF(T42&gt;=22,8,0))))))</f>
        <v>0</v>
      </c>
      <c r="X42" s="254">
        <f t="array" ref="X42">IF(T42=0,0,IF((AND((ROW(T42)=MATCH(TRUE,($T$1:$T$43)&gt;0,0)))),IF(W42&gt;=6,W42-6,0),IF(W42&gt;=2,2,W42)))</f>
        <v>0</v>
      </c>
      <c r="Y42" s="254">
        <f t="array" ref="Y42">IF(T41=0,0,(IF((AND((ROW(T41)=MATCH(TRUE,($T$1:$T$43)&gt;0,0)))),IF(W41&gt;=6,6,W41),IF(W41&gt;=2,W41-2,0))))</f>
        <v>0</v>
      </c>
      <c r="Z42" s="111" t="str">
        <f t="shared" si="6"/>
        <v/>
      </c>
      <c r="AA42" s="214">
        <f>IF(E41="ND",IF(ISERROR(MATCH(D42,Datenblatt!$L$2:$L$18,0)),3,2),IF(E41="ND12,5",IF(ISERROR(MATCH(D42,Datenblatt!$L$2:$L$18,0)),2.5,2),0))</f>
        <v>0</v>
      </c>
      <c r="AB42" s="214">
        <f>IF((IF(E42="ND",14-IF(D42="",0,VLOOKUP(D42,Datenblatt!$L$2:$M$30,2,FALSE)),IF(E42="ND12,5",2,0)))&lt;0,0,(IF(E42="ND",14-IF(D42="",0,VLOOKUP(D42,Datenblatt!$L$2:$M$30,2,FALSE)),IF(E42="ND12,5",2,0))))</f>
        <v>0</v>
      </c>
      <c r="AC42" s="214">
        <f t="shared" si="7"/>
        <v>0</v>
      </c>
      <c r="AD42" s="214">
        <f t="shared" si="8"/>
        <v>0</v>
      </c>
      <c r="AE42" s="214">
        <f t="shared" si="9"/>
        <v>0</v>
      </c>
      <c r="AF42" s="112">
        <f t="shared" si="10"/>
        <v>0</v>
      </c>
      <c r="AG42" s="112">
        <f t="shared" si="11"/>
        <v>0</v>
      </c>
      <c r="AH42" s="112">
        <f>IF(E42="",0,VLOOKUP(E42,Datenblatt!$E$2:$G$28,3,FALSE))</f>
        <v>0</v>
      </c>
    </row>
    <row r="43" spans="1:34" ht="13" customHeight="1">
      <c r="A43" s="89" t="str">
        <f>IF(ISERROR(VLOOKUP(C43,Datenblatt!$B$84:$B$97,1,FALSE)),"","Ft")</f>
        <v/>
      </c>
      <c r="B43" s="159">
        <f t="shared" si="0"/>
        <v>45412</v>
      </c>
      <c r="C43" s="160">
        <f>C42+1</f>
        <v>45412</v>
      </c>
      <c r="D43" s="67"/>
      <c r="E43" s="67"/>
      <c r="F43" s="68"/>
      <c r="G43" s="69"/>
      <c r="H43" s="68"/>
      <c r="I43" s="68"/>
      <c r="J43" s="99"/>
      <c r="K43" s="21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209" t="str">
        <f>IF(D43="","",IF(OR(E42="ND",E42="ND12,5",E43="ND12,5",E43="ZA",E43="NDG",E43="RG",E43="WR"),0+AE43,IF(OR(D43="U",D43="SU",D43="PK",D43="K",D43="KA"),VLOOKUP(D43,Datenblatt!$A$2:$E$31,2,FALSE),VLOOKUP(D43,Datenblatt!$A$2:$C$31,2,FALSE)-J43-L44)))</f>
        <v/>
      </c>
      <c r="M43" s="210" t="str">
        <f>IF(D43="","",IF(E42="ND",VLOOKUP(D43,Datenblatt!$A$2:$C$31,3,FALSE)-1,IF(E42="ND12,5",VLOOKUP(D43,Datenblatt!$A$2:$C$31,3,FALSE)-0.5,VLOOKUP(D43,Datenblatt!$A$2:$C$31,3,FALSE)-M44)))</f>
        <v/>
      </c>
      <c r="N43" s="211" t="str">
        <f t="shared" ref="N43" si="13">IF(AND(F43="",G43=""),"",IF(OR(F43&gt;G43,AND(F43="",G43&gt;0),F43=G43),"ungültig",IF(OR(WEEKDAY(B43,2)=7,A43="Ft"),0,(G43-F43)*24)))</f>
        <v/>
      </c>
      <c r="O43" s="211" t="str">
        <f t="shared" ref="O43" si="14">IF(AND(H43="",I43=""),IF(OR(WEEKDAY(B43,2)=7,A43="Ft"),(G43-F43)*24,""),IF(OR(AND(I43="",H43&gt;0),AND(H43="",I43&gt;0),H43=I43),"ungültig",(IF(I43&gt;H43,((I43-H43)*24+IF(OR(WEEKDAY(B43,2)=7,A43="Ft"),(G43-F43)*24,0)),((1+I43-H43)*24+IF(OR(WEEKDAY(B43,2)=7,A43="Ft"),(G43-F43)*24,0))))))</f>
        <v/>
      </c>
      <c r="P43" s="186">
        <f>IF(D43="",IF($P$47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$47="Freizeit",(-M43-J43+IF(ISNUMBER(N43),(N43*1.5),0)+IF(ISNUMBER(O43),(O43*2),0)+IF(OR(E43="ND",E43="ND12,5"),2,0)),(-M43-J43)),IF($P$47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103" t="str">
        <f>IF(D43="","",VLOOKUP(D43,Datenblatt!$A$2:$D$31,4,FALSE))</f>
        <v/>
      </c>
      <c r="R43" s="104" t="str">
        <f>IF(E43="","",VLOOKUP(E43,Datenblatt!$E$2:$G$28,2,FALSE))</f>
        <v/>
      </c>
      <c r="S43" s="107"/>
      <c r="T43" s="111">
        <f t="shared" si="12"/>
        <v>0</v>
      </c>
      <c r="U43" s="114">
        <f t="array" ref="U43">IF(T42=0,0,IF(AND((ROW(T42)=MATCH(TRUE,($T$1:$T$43)&gt;0,0)),(D42="ND")),IF(T42&lt;3,T42,3),IF(AND(ROW(T42)=MATCH(TRUE,($T$1:$T$43)&gt;0,0),D42="ND12,5"),IF(T42&lt;2.5,T42,2.5),IF(D42="ND12,5",2.5,(T42-V42-W42)))))</f>
        <v>0</v>
      </c>
      <c r="V43" s="112">
        <f t="array" ref="V43">IF(T43=0,0,IF(AND((ROW(T43)=MATCH(TRUE,($T$1:$T$43)&gt;0,0)),(D43="ND")),IF(T43&gt;2,T43-2,0),IF(AND(ROW(T43)=MATCH(TRUE,($T$1:$T$43)&gt;0,0),D43="ND12,5"),IF(T43&gt;2,T43-2,0),IF(D43="ND12,5",IF(T43&gt;2,T43-2,0),(IF(T43&lt;14,T43,14))))))</f>
        <v>0</v>
      </c>
      <c r="W43" s="112">
        <f t="array" ref="W43">IF(T43=0,0,IF(AND((ROW(T43)=MATCH(TRUE,($T$1:$T$43)&gt;0,0)),(D43="ND")),IF(T43&gt;=2,2,T43),IF(AND((ROW(T43)=MATCH(TRUE,($T$1:$T$43)&gt;0,0)),(D43="ND12,5")),IF(T43&gt;=2,2,T43),IF(D43="ND12,5",2,IF(AND(T43&gt;14,T43&lt;22),(T43-V43),IF(T43&gt;=22,8,0))))))</f>
        <v>0</v>
      </c>
      <c r="X43" s="254">
        <f t="array" ref="X43">IF(T43=0,0,IF((AND((ROW(T43)=MATCH(TRUE,($T$1:$T$43)&gt;0,0)))),IF(W43&gt;=0,W43-0,0),IF(W43&gt;=2,2,W43)))</f>
        <v>0</v>
      </c>
      <c r="Y43" s="254">
        <f t="array" ref="Y43">IF(T42=0,0,(IF((AND((ROW(T42)=MATCH(TRUE,($T$1:$T$43)&gt;0,0)))),IF(W42&gt;=6,6,W42),IF(W42&gt;=2,W42-2,0))))</f>
        <v>0</v>
      </c>
      <c r="Z43" s="111" t="str">
        <f t="shared" si="6"/>
        <v/>
      </c>
      <c r="AA43" s="214">
        <f>IF(E42="ND",IF(ISERROR(MATCH(D43,Datenblatt!$L$2:$L$18,0)),3,2),IF(E42="ND12,5",IF(ISERROR(MATCH(D43,Datenblatt!$L$2:$L$18,0)),2.5,2),0))</f>
        <v>0</v>
      </c>
      <c r="AB43" s="214">
        <f>IF((IF(E43="ND",14-IF(D43="",0,VLOOKUP(D43,Datenblatt!$L$2:$M$30,2,FALSE)),IF(E43="ND12,5",2,0)))&lt;0,0,(IF(E43="ND",14-IF(D43="",0,VLOOKUP(D43,Datenblatt!$L$2:$M$30,2,FALSE)),IF(E43="ND12,5",2,0))))</f>
        <v>0</v>
      </c>
      <c r="AC43" s="214">
        <f t="shared" si="7"/>
        <v>0</v>
      </c>
      <c r="AD43" s="214">
        <f t="shared" si="8"/>
        <v>0</v>
      </c>
      <c r="AE43" s="214">
        <f t="shared" si="9"/>
        <v>0</v>
      </c>
      <c r="AF43" s="112">
        <f t="shared" si="10"/>
        <v>0</v>
      </c>
      <c r="AG43" s="112">
        <f t="shared" si="11"/>
        <v>0</v>
      </c>
      <c r="AH43" s="112">
        <f>IF(E43="",0,VLOOKUP(E43,Datenblatt!$E$2:$G$28,3,FALSE))</f>
        <v>0</v>
      </c>
    </row>
    <row r="44" spans="1:34" ht="13" customHeight="1" thickBot="1">
      <c r="A44" s="227" t="str">
        <f>IF(ISERROR(VLOOKUP(C44,Datenblatt!$B$84:$B$97,1,FALSE)),"","Ft")</f>
        <v/>
      </c>
      <c r="B44" s="153"/>
      <c r="C44" s="150"/>
      <c r="D44" s="150"/>
      <c r="E44" s="150"/>
      <c r="F44" s="150"/>
      <c r="G44" s="150"/>
      <c r="H44" s="150"/>
      <c r="I44" s="150"/>
      <c r="J44" s="154">
        <f>SUM(J14:J43)</f>
        <v>0</v>
      </c>
      <c r="K44" s="213">
        <f>SUM(K14:K43)</f>
        <v>0</v>
      </c>
      <c r="L44" s="172" t="str">
        <f>IF(D43="ND",9,IF(D43="ND12,5",8.5,"0"))</f>
        <v>0</v>
      </c>
      <c r="M44" s="172" t="str">
        <f>IF(D43="ND",9,IF(D43="ND12,5",8.5,"0"))</f>
        <v>0</v>
      </c>
      <c r="N44" s="219">
        <f t="shared" ref="N44:O44" si="15">SUM(N14:N43)</f>
        <v>0</v>
      </c>
      <c r="O44" s="219">
        <f t="shared" si="15"/>
        <v>0</v>
      </c>
      <c r="P44" s="197">
        <f>SUM(P14:P43)</f>
        <v>0</v>
      </c>
      <c r="Q44" s="175"/>
      <c r="R44" s="156"/>
      <c r="S44" s="157"/>
      <c r="T44" s="155"/>
      <c r="U44" s="115"/>
      <c r="V44" s="116"/>
      <c r="W44" s="116"/>
      <c r="X44" s="116"/>
      <c r="Y44" s="116"/>
      <c r="Z44" s="155"/>
      <c r="AA44" s="215"/>
      <c r="AB44" s="215"/>
      <c r="AC44" s="215"/>
      <c r="AD44" s="215"/>
      <c r="AE44" s="215"/>
      <c r="AF44" s="215"/>
      <c r="AG44" s="215"/>
      <c r="AH44" s="215"/>
    </row>
    <row r="45" spans="1:34" s="80" customFormat="1" ht="0.75" customHeight="1" thickBot="1">
      <c r="A45" s="470"/>
      <c r="B45" s="70"/>
      <c r="C45" s="71"/>
      <c r="D45" s="72"/>
      <c r="E45" s="102"/>
      <c r="F45" s="73"/>
      <c r="G45" s="74"/>
      <c r="H45" s="75"/>
      <c r="I45" s="74"/>
      <c r="J45" s="76"/>
      <c r="K45" s="94"/>
      <c r="L45" s="75"/>
      <c r="M45" s="77"/>
      <c r="N45" s="77"/>
      <c r="O45" s="78"/>
      <c r="P45" s="79"/>
      <c r="Q45" s="74"/>
      <c r="R45" s="70"/>
      <c r="T45" s="117"/>
      <c r="U45" s="117"/>
      <c r="V45" s="117"/>
      <c r="W45" s="117"/>
      <c r="X45" s="117"/>
      <c r="Y45" s="117"/>
      <c r="Z45" s="187"/>
      <c r="AA45" s="216"/>
      <c r="AB45" s="216"/>
      <c r="AC45" s="216"/>
      <c r="AD45" s="216"/>
      <c r="AE45" s="216"/>
      <c r="AF45" s="118"/>
      <c r="AG45" s="118"/>
      <c r="AH45" s="118"/>
    </row>
    <row r="46" spans="1:34" s="66" customFormat="1">
      <c r="A46" s="227"/>
      <c r="B46" s="168" t="s">
        <v>147</v>
      </c>
      <c r="C46" s="168"/>
      <c r="D46" s="59"/>
      <c r="E46" s="59"/>
      <c r="F46" s="56"/>
      <c r="G46" s="56"/>
      <c r="H46" s="56"/>
      <c r="I46" s="251"/>
      <c r="J46" s="251"/>
      <c r="K46" s="251"/>
      <c r="L46" s="542" t="s">
        <v>289</v>
      </c>
      <c r="M46" s="542"/>
      <c r="N46" s="542"/>
      <c r="O46" s="543"/>
      <c r="P46" s="201" t="s">
        <v>146</v>
      </c>
      <c r="Q46" s="348">
        <f>IF($P$46="ja",SUMPRODUCT((WEEKDAY($B$14:$B$43,2)=1)*2),0)</f>
        <v>0</v>
      </c>
      <c r="R46" s="158"/>
      <c r="S46" s="171"/>
      <c r="T46" s="118"/>
      <c r="U46" s="118"/>
      <c r="V46" s="118"/>
      <c r="W46" s="118"/>
      <c r="X46" s="118"/>
      <c r="Y46" s="118"/>
      <c r="Z46" s="188"/>
      <c r="AA46" s="217"/>
      <c r="AB46" s="217"/>
      <c r="AC46" s="217"/>
      <c r="AD46" s="217"/>
      <c r="AE46" s="217"/>
      <c r="AF46" s="243"/>
      <c r="AG46" s="243"/>
      <c r="AH46" s="243"/>
    </row>
    <row r="47" spans="1:34" s="66" customFormat="1">
      <c r="A47" s="227"/>
      <c r="B47" s="191" t="str">
        <f>"Verrechnung von Sonderzahlungen, Überstunden, Nachtgutstunden und Nachtdiensten erfolgt im Folgemonat"&amp;" "&amp;Start!$B$19</f>
        <v>Verrechnung von Sonderzahlungen, Überstunden, Nachtgutstunden und Nachtdiensten erfolgt im Folgemonat Mai</v>
      </c>
      <c r="C47" s="168"/>
      <c r="D47" s="59"/>
      <c r="E47" s="59"/>
      <c r="F47" s="56"/>
      <c r="G47" s="56"/>
      <c r="H47" s="82"/>
      <c r="I47" s="82"/>
      <c r="J47" s="83"/>
      <c r="K47" s="83"/>
      <c r="L47" s="538" t="s">
        <v>290</v>
      </c>
      <c r="M47" s="538"/>
      <c r="N47" s="538"/>
      <c r="O47" s="539"/>
      <c r="P47" s="204" t="s">
        <v>292</v>
      </c>
      <c r="Q47" s="347" t="str">
        <f>IF($P$47="Freizeit","       als Gutstunden abgerechnet","       im Folgemonat ausbezahlt")</f>
        <v xml:space="preserve">       als Gutstunden abgerechnet</v>
      </c>
      <c r="R47" s="203"/>
      <c r="S47" s="192"/>
      <c r="T47" s="118"/>
      <c r="U47" s="118"/>
      <c r="V47" s="118"/>
      <c r="W47" s="118"/>
      <c r="X47" s="118"/>
      <c r="Y47" s="118"/>
      <c r="Z47" s="188"/>
      <c r="AA47" s="217"/>
      <c r="AB47" s="217"/>
      <c r="AC47" s="217"/>
      <c r="AD47" s="217"/>
      <c r="AE47" s="217"/>
      <c r="AF47" s="118"/>
      <c r="AG47" s="118"/>
      <c r="AH47" s="301"/>
    </row>
    <row r="48" spans="1:34" s="66" customFormat="1" ht="15" thickBot="1">
      <c r="A48" s="227"/>
      <c r="B48" s="168"/>
      <c r="C48" s="168"/>
      <c r="D48" s="59"/>
      <c r="E48" s="59"/>
      <c r="F48" s="56"/>
      <c r="G48" s="56"/>
      <c r="H48" s="82"/>
      <c r="I48" s="82"/>
      <c r="J48" s="83"/>
      <c r="K48" s="83"/>
      <c r="L48" s="88"/>
      <c r="M48" s="88"/>
      <c r="N48" s="59"/>
      <c r="O48" s="59"/>
      <c r="P48" s="59"/>
      <c r="S48" s="56"/>
      <c r="T48" s="118"/>
      <c r="U48" s="118"/>
      <c r="V48" s="118"/>
      <c r="W48" s="118"/>
      <c r="X48" s="118"/>
      <c r="Y48" s="118"/>
      <c r="Z48" s="188"/>
      <c r="AA48" s="217"/>
      <c r="AB48" s="217"/>
      <c r="AC48" s="217"/>
      <c r="AD48" s="217"/>
      <c r="AE48" s="217"/>
      <c r="AF48" s="118"/>
      <c r="AG48" s="118"/>
      <c r="AH48" s="301"/>
    </row>
    <row r="49" spans="1:34" s="66" customFormat="1" ht="13" hidden="1" customHeight="1">
      <c r="A49" s="227"/>
      <c r="B49" s="81"/>
      <c r="C49" s="81"/>
      <c r="D49" s="56"/>
      <c r="E49" s="56"/>
      <c r="F49" s="56"/>
      <c r="G49" s="56"/>
      <c r="H49" s="82"/>
      <c r="I49" s="82"/>
      <c r="J49" s="83"/>
      <c r="K49" s="83"/>
      <c r="L49" s="88"/>
      <c r="M49" s="88"/>
      <c r="N49" s="59"/>
      <c r="O49" s="59"/>
      <c r="P49" s="59"/>
      <c r="S49" s="56"/>
      <c r="T49" s="118"/>
      <c r="U49" s="118"/>
      <c r="V49" s="118"/>
      <c r="W49" s="118"/>
      <c r="X49" s="118"/>
      <c r="Y49" s="118"/>
      <c r="Z49" s="188"/>
      <c r="AA49" s="217"/>
      <c r="AB49" s="217"/>
      <c r="AC49" s="217"/>
      <c r="AD49" s="217"/>
      <c r="AE49" s="217"/>
      <c r="AF49" s="118"/>
      <c r="AG49" s="118"/>
      <c r="AH49" s="301"/>
    </row>
    <row r="50" spans="1:34" s="59" customFormat="1" ht="13" customHeight="1">
      <c r="A50" s="471"/>
      <c r="B50" s="452" t="s">
        <v>248</v>
      </c>
      <c r="C50" s="608" t="s">
        <v>249</v>
      </c>
      <c r="D50" s="608"/>
      <c r="E50" s="453" t="s">
        <v>412</v>
      </c>
      <c r="F50" s="272"/>
      <c r="G50" s="317" t="s">
        <v>387</v>
      </c>
      <c r="H50" s="318"/>
      <c r="I50" s="322"/>
      <c r="J50" s="322"/>
      <c r="K50" s="322"/>
      <c r="L50" s="319">
        <f>($Q$6)*2</f>
        <v>10730.62</v>
      </c>
      <c r="N50" s="612" t="str">
        <f>"Monatsprofil"&amp;" "&amp;Start!$B$18</f>
        <v>Monatsprofil April</v>
      </c>
      <c r="O50" s="613"/>
      <c r="P50" s="614"/>
      <c r="T50" s="242"/>
      <c r="U50" s="242"/>
      <c r="V50" s="242"/>
      <c r="W50" s="242"/>
      <c r="X50" s="242"/>
      <c r="Y50" s="242"/>
      <c r="Z50" s="188"/>
      <c r="AA50" s="217"/>
      <c r="AB50" s="217"/>
      <c r="AC50" s="217"/>
      <c r="AD50" s="217"/>
      <c r="AE50" s="217"/>
      <c r="AF50" s="242"/>
      <c r="AG50" s="242"/>
      <c r="AH50" s="302"/>
    </row>
    <row r="51" spans="1:34" s="89" customFormat="1" ht="13" customHeight="1">
      <c r="A51" s="227"/>
      <c r="B51" s="355">
        <f>COUNTIF($D$14:$E$43,"U")-COUNTIFS($D$14:$D$43,"U",$E$14:$E$43,"K")-COUNTIFS($D$14:$D$43,"U",$E$14:$E$43,"PK")</f>
        <v>0</v>
      </c>
      <c r="C51" s="454" t="s">
        <v>18</v>
      </c>
      <c r="D51" s="455">
        <f>SUMIFS($P$14:$P$43,$D$14:$D$43,"U")+SUMIFS($P$14:$P$43,$E$14:$E$43,"U")</f>
        <v>0</v>
      </c>
      <c r="E51" s="456"/>
      <c r="F51" s="316"/>
      <c r="G51" s="341" t="s">
        <v>354</v>
      </c>
      <c r="H51" s="342"/>
      <c r="I51" s="343"/>
      <c r="J51" s="343"/>
      <c r="K51" s="343"/>
      <c r="L51" s="344">
        <f>IF(OR(Start!$D$8=Gehalt!$K$37,Start!$D$8=Gehalt!$K$39,Start!$D$8=Gehalt!$K$41),Gehalt!$C$29,0)</f>
        <v>0</v>
      </c>
      <c r="N51" s="615"/>
      <c r="O51" s="616"/>
      <c r="P51" s="617"/>
      <c r="T51" s="278" t="s">
        <v>398</v>
      </c>
      <c r="U51" s="119">
        <f>SUMPRODUCT(($U$14:$U$43)*(ISNUMBER(FIND("Ft",$A$14:$A$43))))+SUMPRODUCT((($U$14:$U$43)*1)*(WEEKDAY($B$14:$B$43,2)=7))-SUMPRODUCT((($U$14:$U$43)*1)*(WEEKDAY($B$14:$B$43,2)=7)*(ISNUMBER(FIND("Ft",$A$14:$A$43))))</f>
        <v>0</v>
      </c>
      <c r="V51" s="119">
        <f>SUMPRODUCT(($V$14:$V$43)*(ISNUMBER(FIND("Ft",$A$14:$A$43))))+SUMPRODUCT((($V$14:$V$43)*1)*(WEEKDAY($B$14:$B$43,2)=7))-SUMPRODUCT((($V$14:$V$43)*1)*(WEEKDAY($B$14:$B$43,2)=7)*(ISNUMBER(FIND("Ft",$A$14:$A$43))))</f>
        <v>0</v>
      </c>
      <c r="W51" s="119">
        <f>SUM($W$14:$W$43)</f>
        <v>0</v>
      </c>
      <c r="X51" s="255"/>
      <c r="Y51" s="256"/>
      <c r="Z51" s="278" t="s">
        <v>398</v>
      </c>
      <c r="AA51" s="214">
        <f>SUMPRODUCT(($AA$14:$AA$43)*(ISNUMBER(FIND("Ft",$A$14:$A$43))))+SUMPRODUCT((($AA$14:$AA$43)*1)*(WEEKDAY($B$14:$B$43,2)=7))-SUMPRODUCT((($AA$14:$AA$43)*1)*(WEEKDAY($B$14:$B$43,2)=7)*(ISNUMBER(FIND("Ft",$A$14:$A$43))))</f>
        <v>0</v>
      </c>
      <c r="AB51" s="214">
        <f>SUMPRODUCT(($AB$14:$AB$43)*(ISNUMBER(FIND("Ft",$A$14:$A$43))))+SUMPRODUCT((($AB$14:$AB$43)*1)*(WEEKDAY($B$14:$B$43,2)=7))-SUMPRODUCT((($AB$14:$AB$43)*1)*(WEEKDAY($B$14:$B$43,2)=7)*(ISNUMBER(FIND("Ft",$A$14:$A$43))))</f>
        <v>0</v>
      </c>
      <c r="AC51" s="214">
        <f>SUM($AC$14:$AC$43)</f>
        <v>0</v>
      </c>
      <c r="AD51" s="214">
        <f>SUM($AD$14:$AD$43)</f>
        <v>0</v>
      </c>
      <c r="AE51" s="217"/>
      <c r="AF51" s="188"/>
      <c r="AG51" s="278" t="s">
        <v>398</v>
      </c>
      <c r="AH51" s="214">
        <f>SUMPRODUCT(($AH$14:$AH$43)*(ISNUMBER(FIND("Ft",$A$14:$A$43))))+SUMPRODUCT((($AH$14:$AH$43)*1)*(WEEKDAY($B$14:$B$43,2)=7))-SUMPRODUCT((($AH$14:$AH$43)*1)*(WEEKDAY($B$14:$B$43,2)=7)*(ISNUMBER(FIND("Ft",$A$14:$A$43))))</f>
        <v>0</v>
      </c>
    </row>
    <row r="52" spans="1:34" s="89" customFormat="1" ht="13" customHeight="1">
      <c r="A52" s="227"/>
      <c r="B52" s="355">
        <f>COUNTIF($D$14:$E$43,"ZA")-COUNTIFS($D$14:$D$43,"ZA",$E$14:$E$43,"K")-COUNTIFS($D$14:$D$43,"ZA",$E$14:$E$43,"PK")</f>
        <v>0</v>
      </c>
      <c r="C52" s="454" t="s">
        <v>21</v>
      </c>
      <c r="D52" s="457">
        <f>SUMIFS($P$14:$P$43,$D$14:$D$43,"ZA")+SUMIFS($P$14:$P$43,$E$14:$E$43,"ZA")-$J$44</f>
        <v>0</v>
      </c>
      <c r="E52" s="458">
        <f>IF($P$47="Freizeit",SUM($N$44*1.5,$O$44*2),0)+$J$54*1.5</f>
        <v>0</v>
      </c>
      <c r="F52" s="272"/>
      <c r="G52" s="323" t="str">
        <f>"9545 Nachtdienstpauschale Gesamt ("&amp;""&amp;Gehalt!$F$25&amp;""&amp;"€/h)"</f>
        <v>9545 Nachtdienstpauschale Gesamt (29,44€/h)</v>
      </c>
      <c r="H52" s="151"/>
      <c r="I52" s="151"/>
      <c r="J52" s="151"/>
      <c r="K52" s="264">
        <f>SUM($AF$14:$AG$43)</f>
        <v>0</v>
      </c>
      <c r="L52" s="226">
        <f>$K$52*Gehalt!$F$25</f>
        <v>0</v>
      </c>
      <c r="N52" s="540" t="s">
        <v>237</v>
      </c>
      <c r="O52" s="541"/>
      <c r="P52" s="352">
        <f>VLOOKUP($B$8,Datenblatt!$A$100:$I$112,2,FALSE)</f>
        <v>30</v>
      </c>
      <c r="T52" s="279" t="s">
        <v>104</v>
      </c>
      <c r="U52" s="269">
        <f>SUM($U$14:$U$43)-$U$51</f>
        <v>0</v>
      </c>
      <c r="V52" s="269">
        <f>SUM($V$14:$V$43)-$V$51</f>
        <v>0</v>
      </c>
      <c r="W52" s="257"/>
      <c r="X52" s="265"/>
      <c r="Y52" s="256"/>
      <c r="Z52" s="280" t="s">
        <v>104</v>
      </c>
      <c r="AA52" s="214">
        <f>SUM($AA$14:$AA$43)-$AA$51</f>
        <v>0</v>
      </c>
      <c r="AB52" s="214">
        <f>SUM($AB$14:$AB$43)-$AB$51</f>
        <v>0</v>
      </c>
      <c r="AC52" s="260"/>
      <c r="AD52" s="261"/>
      <c r="AE52" s="217"/>
      <c r="AF52" s="188"/>
      <c r="AG52" s="280" t="s">
        <v>104</v>
      </c>
      <c r="AH52" s="214">
        <f>SUM($AH$14:$AH$43)-$AH$51</f>
        <v>0</v>
      </c>
    </row>
    <row r="53" spans="1:34" s="89" customFormat="1" ht="13" customHeight="1">
      <c r="A53" s="227"/>
      <c r="B53" s="355">
        <f>COUNTIF($D$14:$E$43,"RG")-COUNTIFS($D$14:$D$43,"U",$E$14:$E$43,"RG")-COUNTIFS($D$14:$D$43,"RG",$E$14:$E$43,"PK")</f>
        <v>0</v>
      </c>
      <c r="C53" s="359" t="s">
        <v>132</v>
      </c>
      <c r="D53" s="455">
        <f>SUMIFS($P$14:$P$43,$D$14:$D$43,"RG")+SUMIFS($P$14:$P$43,$E$14:$E$43,"RG")</f>
        <v>0</v>
      </c>
      <c r="E53" s="459">
        <f>$Q$46</f>
        <v>0</v>
      </c>
      <c r="G53" s="323" t="str">
        <f>"9547 Sonn- und Feiertagszulage ("&amp;""&amp;Gehalt!$F$26&amp;""&amp;"€/h)"</f>
        <v>9547 Sonn- und Feiertagszulage (18,5€/h)</v>
      </c>
      <c r="H53" s="151"/>
      <c r="I53" s="151"/>
      <c r="J53" s="151"/>
      <c r="K53" s="22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26">
        <f>$K$53*Gehalt!$F$26</f>
        <v>0</v>
      </c>
      <c r="N53" s="540" t="s">
        <v>238</v>
      </c>
      <c r="O53" s="541"/>
      <c r="P53" s="352">
        <f>VLOOKUP($B$8,Datenblatt!$A$100:$I$112,3,FALSE)</f>
        <v>1</v>
      </c>
      <c r="T53" s="277" t="s">
        <v>399</v>
      </c>
      <c r="U53" s="112">
        <f>SUMPRODUCT(($U$14:$U$43)*(ISNUMBER(FIND("Ft",$A$14:$A$43))))+SUMPRODUCT((($U$14:$U$43)*1)*(WEEKDAY($B$14:$B$43,2)=7))-SUMPRODUCT((($U$14:$U$43)*1)*(WEEKDAY($B$14:$B$43,2)=7)*(ISNUMBER(FIND("Ft",$A$14:$A$43))))</f>
        <v>0</v>
      </c>
      <c r="V53" s="112">
        <f>SUMPRODUCT(($V$14:$V$43)*(ISNUMBER(FIND("Ft",$A$14:$A$43))))+SUMPRODUCT((($V$14:$V$43)*1)*(WEEKDAY($B$14:$B$43,2)=7))-SUMPRODUCT((($V$14:$V$43)*1)*(WEEKDAY($B$14:$B$43,2)=7)*(ISNUMBER(FIND("Ft",$A$14:$A$43))))+IF(SUMIFS($V$14:$V$43,$A$14:$A$43,"HFt")&gt;8,8,(SUMIFS($V$14:$V$43,$A$14:$A$43,"HFt")))</f>
        <v>0</v>
      </c>
      <c r="W53" s="270"/>
      <c r="X53" s="112">
        <f>SUMPRODUCT(($X$14:$X$43)*(ISNUMBER(FIND("Ft",$A$14:$A$43))))+SUMPRODUCT((($X$14:$X$43)*1)*(WEEKDAY($B$14:$B$43,2)=7))-SUMPRODUCT((($X$14:$X$43)*1)*(WEEKDAY($B$14:$B$43,2)=7)*(ISNUMBER(FIND("Ft",$A$14:$A$43))))+IF(SUMIFS($X$14:$X$43,$A$14:$A$43,"HFt")&gt;2,2,(SUMIFS($X$14:$X$43,$A$14:$A$43,"HFt")))</f>
        <v>0</v>
      </c>
      <c r="Y53" s="112">
        <f>SUMPRODUCT(($Y$14:$Y$43)*(ISNUMBER(FIND("Ft",$A$14:$A$43))))+SUMPRODUCT((($Y$14:$Y$43)*1)*(WEEKDAY($B$14:$B$43,2)=7))-SUMPRODUCT((($Y$14:$Y$43)*1)*(WEEKDAY($B$14:$B$43,2)=7)*(ISNUMBER(FIND("Ft",$A$14:$A$43))))</f>
        <v>0</v>
      </c>
      <c r="Z53" s="258"/>
      <c r="AA53" s="258"/>
      <c r="AB53" s="258"/>
      <c r="AC53" s="259"/>
      <c r="AD53" s="259"/>
      <c r="AE53" s="188"/>
      <c r="AF53" s="188"/>
      <c r="AG53" s="188"/>
      <c r="AH53" s="302"/>
    </row>
    <row r="54" spans="1:34" s="89" customFormat="1" ht="13" customHeight="1">
      <c r="A54" s="227"/>
      <c r="B54" s="355">
        <f>COUNTIF($D$14:$E$43,"NDG")-COUNTIFS($D$14:$D$43,"NDG",$E$14:$E$43,"K")-COUNTIFS($D$14:$D$43,"NDG",$E$14:$E$43,"PK")</f>
        <v>0</v>
      </c>
      <c r="C54" s="359" t="s">
        <v>131</v>
      </c>
      <c r="D54" s="455">
        <f>SUMIFS($P$14:$P$43,$D$14:$D$43,"NDG")+SUMIFS($P$14:$P$43,$E$14:$E$43,"NDG")</f>
        <v>0</v>
      </c>
      <c r="E54" s="459">
        <f>$N$6*2-COUNTIFS($D$14:$D$43,"ND",$E$14:$E$43,"K")*2-COUNTIFS($D$14:$D$43,"ND12,5",$E$14:$E$43,"K")*2-COUNTIFS($D$14:$D$43,"ND",$E$13:$E$42,"ND")*2-COUNTIFS($D$14:$D$43,"ND12,5",$E$13:$E$42,"ND")*2-COUNTIFS($D$14:$D$43,"ND",$E$13:$E$42,"ND12,5")*2</f>
        <v>0</v>
      </c>
      <c r="G54" s="609" t="s">
        <v>295</v>
      </c>
      <c r="H54" s="610"/>
      <c r="I54" s="611"/>
      <c r="J54" s="390">
        <v>0</v>
      </c>
      <c r="K54" s="225">
        <f>IF($P$47="finanziell",SUM($L$62),0)+$L$66+$L$70-$J$54</f>
        <v>0</v>
      </c>
      <c r="L54" s="226">
        <f>$K$54*$L$60</f>
        <v>0</v>
      </c>
      <c r="M54" s="56"/>
      <c r="N54" s="540" t="s">
        <v>239</v>
      </c>
      <c r="O54" s="541"/>
      <c r="P54" s="352">
        <f>VLOOKUP($B$8,Datenblatt!$A$100:$I$112,4,FALSE)</f>
        <v>8</v>
      </c>
      <c r="Q54" s="56"/>
      <c r="T54" s="242"/>
      <c r="U54" s="242"/>
      <c r="V54" s="242"/>
      <c r="W54" s="188"/>
      <c r="X54" s="188"/>
      <c r="Y54" s="188"/>
      <c r="Z54" s="242"/>
      <c r="AA54" s="242"/>
      <c r="AB54" s="242"/>
      <c r="AC54" s="188"/>
      <c r="AD54" s="188"/>
      <c r="AE54" s="188"/>
      <c r="AF54" s="188"/>
      <c r="AG54" s="188"/>
      <c r="AH54" s="302"/>
    </row>
    <row r="55" spans="1:34" s="89" customFormat="1" ht="13" customHeight="1">
      <c r="A55" s="227"/>
      <c r="B55" s="460"/>
      <c r="C55" s="359" t="s">
        <v>170</v>
      </c>
      <c r="D55" s="455">
        <f>SUMIFS($M$14:$M$43,$D$14:$D$43,"U")</f>
        <v>0</v>
      </c>
      <c r="E55" s="456"/>
      <c r="G55" s="323" t="s">
        <v>227</v>
      </c>
      <c r="H55" s="151"/>
      <c r="I55" s="151"/>
      <c r="J55" s="151"/>
      <c r="K55" s="225">
        <f>IF($P$47="finanziell",SUM($L$63),0)+$L$71+$L$67</f>
        <v>0</v>
      </c>
      <c r="L55" s="226">
        <f>$K$55*$L$61</f>
        <v>0</v>
      </c>
      <c r="M55" s="59"/>
      <c r="N55" s="540" t="s">
        <v>240</v>
      </c>
      <c r="O55" s="541"/>
      <c r="P55" s="352">
        <f>VLOOKUP($B$8,Datenblatt!$A$100:$I$112,5,FALSE)</f>
        <v>21</v>
      </c>
      <c r="T55" s="242"/>
      <c r="U55" s="242"/>
      <c r="V55" s="242"/>
      <c r="W55" s="188"/>
      <c r="X55" s="188"/>
      <c r="Y55" s="188"/>
      <c r="Z55" s="242"/>
      <c r="AA55" s="242"/>
      <c r="AB55" s="242"/>
      <c r="AC55" s="188"/>
      <c r="AD55" s="188"/>
      <c r="AE55" s="188"/>
      <c r="AF55" s="188"/>
      <c r="AG55" s="188"/>
      <c r="AH55" s="302"/>
    </row>
    <row r="56" spans="1:34" s="89" customFormat="1" ht="13" customHeight="1">
      <c r="A56" s="227"/>
      <c r="B56" s="355">
        <f>COUNTIF($D$14:$E$43,"SU")-COUNTIFS($D$14:$D$43,"SU",$E$14:$E$43,"K")-COUNTIFS($D$14:$D$43,"SU",$E$14:$E$43,"PK")</f>
        <v>0</v>
      </c>
      <c r="C56" s="359" t="s">
        <v>172</v>
      </c>
      <c r="D56" s="455">
        <f>SUMIFS($M$14:$M$43,$D$14:$D$43,"SU")</f>
        <v>0</v>
      </c>
      <c r="E56" s="456"/>
      <c r="G56" s="323" t="s">
        <v>285</v>
      </c>
      <c r="H56" s="151"/>
      <c r="I56" s="151"/>
      <c r="J56" s="151"/>
      <c r="K56" s="224">
        <f ca="1">IF(März!$P$63-SUM(Start!$E$34:$E$35,Start!$E$15:$E$18)*2&lt;=0,0,März!$P$63-SUM(Start!$E$34:$E$35,Start!$E$15:$E$18)*2)</f>
        <v>0</v>
      </c>
      <c r="L56" s="226">
        <f ca="1">$K$56*(ROUNDDOWN((($Q$6-35)/173*1),2))</f>
        <v>0</v>
      </c>
      <c r="N56" s="540" t="s">
        <v>241</v>
      </c>
      <c r="O56" s="541"/>
      <c r="P56" s="352">
        <f>VLOOKUP($B$8,Datenblatt!$A$100:$I$112,7,FALSE)</f>
        <v>22</v>
      </c>
      <c r="T56" s="242"/>
      <c r="U56" s="242"/>
      <c r="V56" s="242"/>
      <c r="W56" s="188"/>
      <c r="X56" s="188"/>
      <c r="Y56" s="188"/>
      <c r="Z56" s="242"/>
      <c r="AA56" s="242"/>
      <c r="AB56" s="242"/>
      <c r="AC56" s="188"/>
      <c r="AD56" s="188"/>
      <c r="AE56" s="188"/>
      <c r="AF56" s="188"/>
      <c r="AG56" s="188"/>
      <c r="AH56" s="302"/>
    </row>
    <row r="57" spans="1:34" s="89" customFormat="1" ht="13" customHeight="1">
      <c r="A57" s="227"/>
      <c r="B57" s="355">
        <f>COUNTIF($D$14:$E$43,"PK")</f>
        <v>0</v>
      </c>
      <c r="C57" s="359" t="s">
        <v>171</v>
      </c>
      <c r="D57" s="455">
        <f>SUMIFS($M$14:$M$43,$D$14:$D$43,"PK")</f>
        <v>0</v>
      </c>
      <c r="E57" s="456"/>
      <c r="G57" s="391" t="s">
        <v>297</v>
      </c>
      <c r="H57" s="392"/>
      <c r="I57" s="392"/>
      <c r="J57" s="151"/>
      <c r="K57" s="225">
        <f>IF(OR(Start!$D$8=Gehalt!$K$37,Start!$D$8=Gehalt!$K$39,Start!$D$8=Gehalt!$K$41),SUMIFS($M$14:$M$43,$Q$14:$Q$43,"=Tagdienst*",$E$14:$E$43,"&lt;&gt;*")+SUMIFS($AH$14:$AH$43,$R$14:$R$43,"=Tagdienst*"),0)</f>
        <v>0</v>
      </c>
      <c r="L57" s="226">
        <f>$K$57*Gehalt!$C$28</f>
        <v>0</v>
      </c>
      <c r="N57" s="540" t="s">
        <v>236</v>
      </c>
      <c r="O57" s="541"/>
      <c r="P57" s="352">
        <f>VLOOKUP($B$8,Datenblatt!$A$100:$I$112,6,FALSE)</f>
        <v>168</v>
      </c>
      <c r="T57" s="242"/>
      <c r="U57" s="242"/>
      <c r="V57" s="242"/>
      <c r="W57" s="188"/>
      <c r="X57" s="188"/>
      <c r="Y57" s="188"/>
      <c r="Z57" s="242"/>
      <c r="AA57" s="242"/>
      <c r="AB57" s="242"/>
      <c r="AC57" s="188"/>
      <c r="AD57" s="188"/>
      <c r="AE57" s="188"/>
      <c r="AF57" s="188"/>
      <c r="AG57" s="188"/>
      <c r="AH57" s="302"/>
    </row>
    <row r="58" spans="1:34" s="89" customFormat="1" ht="13" customHeight="1">
      <c r="A58" s="227"/>
      <c r="B58" s="355">
        <f>COUNTIF($D$14:$E$43,"K")+COUNTIF($D$14:$E$43,"KA")</f>
        <v>0</v>
      </c>
      <c r="C58" s="359" t="s">
        <v>418</v>
      </c>
      <c r="D58" s="455">
        <f>SUMIFS($M$14:$M$43,$D$14:$D$43,"K")+SUMIFS($M$14:$M$43,$D$14:$D$43,"KA")</f>
        <v>0</v>
      </c>
      <c r="E58" s="456"/>
      <c r="G58" s="323" t="s">
        <v>296</v>
      </c>
      <c r="H58" s="151"/>
      <c r="I58" s="151"/>
      <c r="J58" s="393" t="s">
        <v>146</v>
      </c>
      <c r="K58" s="225"/>
      <c r="L58" s="226">
        <f>IF($J$58="ja",Gehalt!$C$27*2,0)</f>
        <v>0</v>
      </c>
      <c r="N58" s="618" t="str">
        <f>"Stundenkonto Monatsende"&amp;" "&amp;Start!$B$18</f>
        <v>Stundenkonto Monatsende April</v>
      </c>
      <c r="O58" s="619"/>
      <c r="P58" s="620"/>
      <c r="T58" s="242"/>
      <c r="U58" s="242"/>
      <c r="V58" s="242"/>
      <c r="W58" s="188"/>
      <c r="X58" s="188"/>
      <c r="Y58" s="188"/>
      <c r="Z58" s="242"/>
      <c r="AA58" s="242"/>
      <c r="AB58" s="242"/>
      <c r="AC58" s="188"/>
      <c r="AD58" s="188"/>
      <c r="AE58" s="188"/>
      <c r="AF58" s="188"/>
      <c r="AG58" s="188"/>
      <c r="AH58" s="302"/>
    </row>
    <row r="59" spans="1:34" s="89" customFormat="1" ht="13" customHeight="1" thickBot="1">
      <c r="A59" s="227"/>
      <c r="B59" s="460"/>
      <c r="C59" s="359" t="s">
        <v>19</v>
      </c>
      <c r="D59" s="455">
        <f>COUNTIF($L$14:$L$43,"n.b.")</f>
        <v>0</v>
      </c>
      <c r="E59" s="456"/>
      <c r="G59" s="229" t="s">
        <v>362</v>
      </c>
      <c r="H59" s="230"/>
      <c r="I59" s="230"/>
      <c r="J59" s="230"/>
      <c r="K59" s="338"/>
      <c r="L59" s="228">
        <f ca="1">SUM(L52:L57)*12%</f>
        <v>0</v>
      </c>
      <c r="N59" s="615"/>
      <c r="O59" s="616"/>
      <c r="P59" s="617"/>
      <c r="T59" s="242"/>
      <c r="U59" s="188"/>
      <c r="V59" s="188"/>
      <c r="W59" s="188"/>
      <c r="X59" s="188"/>
      <c r="Y59" s="188"/>
      <c r="Z59" s="242"/>
      <c r="AA59" s="188"/>
      <c r="AB59" s="188"/>
      <c r="AC59" s="188"/>
      <c r="AD59" s="188"/>
      <c r="AE59" s="188"/>
      <c r="AF59" s="188"/>
      <c r="AG59" s="188"/>
      <c r="AH59" s="302"/>
    </row>
    <row r="60" spans="1:34" s="89" customFormat="1" ht="13" customHeight="1">
      <c r="A60" s="227"/>
      <c r="B60" s="355">
        <f>COUNTIF($D$14:$E$43,"DV")</f>
        <v>0</v>
      </c>
      <c r="C60" s="359" t="s">
        <v>111</v>
      </c>
      <c r="D60" s="455">
        <f>SUMIFS($P$14:$P$43,$D$14:$D$43,"DV")+SUMIFS($P$14:$P$43,$E$14:$E$43,"DV")</f>
        <v>0</v>
      </c>
      <c r="E60" s="456"/>
      <c r="G60" s="238" t="s">
        <v>298</v>
      </c>
      <c r="H60" s="239"/>
      <c r="I60" s="240"/>
      <c r="J60" s="240"/>
      <c r="K60" s="240"/>
      <c r="L60" s="241">
        <f>IF($Q$6="",0,ROUNDDOWN((($Q$6-35)/173*1.5),2))</f>
        <v>46.21</v>
      </c>
      <c r="N60" s="540" t="s">
        <v>234</v>
      </c>
      <c r="O60" s="541"/>
      <c r="P60" s="352">
        <f>Start!$C$30+SUM(Jänner:April!$D$51)</f>
        <v>0</v>
      </c>
      <c r="T60" s="244"/>
      <c r="U60" s="188"/>
      <c r="V60" s="188"/>
      <c r="W60" s="188"/>
      <c r="X60" s="188"/>
      <c r="Y60" s="188"/>
      <c r="Z60" s="244"/>
      <c r="AA60" s="188"/>
      <c r="AB60" s="188"/>
      <c r="AC60" s="188"/>
      <c r="AD60" s="188"/>
      <c r="AE60" s="188"/>
      <c r="AF60" s="188"/>
      <c r="AG60" s="188"/>
      <c r="AH60" s="302"/>
    </row>
    <row r="61" spans="1:34" s="89" customFormat="1" ht="13" customHeight="1">
      <c r="A61" s="227"/>
      <c r="B61" s="355">
        <f>COUNTIF($D$14:$E$43,"WR")</f>
        <v>0</v>
      </c>
      <c r="C61" s="359" t="s">
        <v>126</v>
      </c>
      <c r="D61" s="466"/>
      <c r="E61" s="456"/>
      <c r="G61" s="360" t="s">
        <v>400</v>
      </c>
      <c r="H61" s="358"/>
      <c r="I61" s="357"/>
      <c r="J61" s="357"/>
      <c r="K61" s="357"/>
      <c r="L61" s="356">
        <f>IF($Q$6="",0,ROUNDDOWN((($Q$6-35)/173*2),2))</f>
        <v>61.62</v>
      </c>
      <c r="N61" s="540" t="s">
        <v>235</v>
      </c>
      <c r="O61" s="541"/>
      <c r="P61" s="353">
        <f>Start!$C$31+SUM(Jänner:April!$D$52)+SUM(Jänner:April!$E$52)</f>
        <v>0</v>
      </c>
      <c r="T61" s="244"/>
      <c r="U61" s="188"/>
      <c r="V61" s="188"/>
      <c r="W61" s="188"/>
      <c r="X61" s="188"/>
      <c r="Y61" s="188"/>
      <c r="Z61" s="244"/>
      <c r="AA61" s="188"/>
      <c r="AB61" s="188"/>
      <c r="AC61" s="188"/>
      <c r="AD61" s="188"/>
      <c r="AE61" s="188"/>
      <c r="AF61" s="188"/>
      <c r="AG61" s="188"/>
      <c r="AH61" s="302"/>
    </row>
    <row r="62" spans="1:34" s="59" customFormat="1" ht="13" customHeight="1">
      <c r="A62" s="471"/>
      <c r="B62" s="478"/>
      <c r="C62" s="478"/>
      <c r="D62" s="478"/>
      <c r="E62" s="478"/>
      <c r="G62" s="374" t="s">
        <v>392</v>
      </c>
      <c r="H62" s="375"/>
      <c r="I62" s="125"/>
      <c r="J62" s="125"/>
      <c r="K62" s="389"/>
      <c r="L62" s="376">
        <f>SUM($N$14:$N$43)</f>
        <v>0</v>
      </c>
      <c r="M62" s="89"/>
      <c r="N62" s="540" t="s">
        <v>148</v>
      </c>
      <c r="O62" s="541"/>
      <c r="P62" s="352">
        <f>Start!$C$32+SUM(Jänner:April!$D$53)+SUM(Jänner:April!$E$53)</f>
        <v>0</v>
      </c>
      <c r="Q62" s="89"/>
      <c r="T62" s="244"/>
      <c r="U62" s="242"/>
      <c r="V62" s="242"/>
      <c r="W62" s="242"/>
      <c r="X62" s="242"/>
      <c r="Y62" s="242"/>
      <c r="Z62" s="244"/>
      <c r="AA62" s="242"/>
      <c r="AB62" s="242"/>
      <c r="AC62" s="242"/>
      <c r="AD62" s="242"/>
      <c r="AE62" s="242"/>
      <c r="AF62" s="242"/>
      <c r="AG62" s="242"/>
      <c r="AH62" s="302"/>
    </row>
    <row r="63" spans="1:34" s="59" customFormat="1" ht="13" customHeight="1">
      <c r="A63" s="471"/>
      <c r="G63" s="374" t="s">
        <v>102</v>
      </c>
      <c r="H63" s="375"/>
      <c r="I63" s="125"/>
      <c r="J63" s="125"/>
      <c r="K63" s="125"/>
      <c r="L63" s="376">
        <f>SUM($O$14:$O$43)</f>
        <v>0</v>
      </c>
      <c r="M63" s="89"/>
      <c r="N63" s="544" t="s">
        <v>166</v>
      </c>
      <c r="O63" s="545"/>
      <c r="P63" s="354">
        <f ca="1">Start!$C$33+SUM(Jänner:April!$D$54)+SUM(Jänner:April!$E$54)-SUM(Jänner:April!$K$56)</f>
        <v>0</v>
      </c>
      <c r="Q63" s="89"/>
      <c r="T63" s="244"/>
      <c r="U63" s="242"/>
      <c r="V63" s="242"/>
      <c r="W63" s="242"/>
      <c r="X63" s="242"/>
      <c r="Y63" s="242"/>
      <c r="Z63" s="244"/>
      <c r="AA63" s="242"/>
      <c r="AB63" s="242"/>
      <c r="AC63" s="242"/>
      <c r="AD63" s="242"/>
      <c r="AE63" s="242"/>
      <c r="AF63" s="242"/>
      <c r="AG63" s="242"/>
      <c r="AH63" s="302"/>
    </row>
    <row r="64" spans="1:34" s="59" customFormat="1" ht="13" customHeight="1">
      <c r="A64" s="471"/>
      <c r="E64" s="140"/>
      <c r="G64" s="374" t="s">
        <v>98</v>
      </c>
      <c r="H64" s="375"/>
      <c r="I64" s="125"/>
      <c r="J64" s="125"/>
      <c r="K64" s="125"/>
      <c r="L64" s="377">
        <f>$L$62*$L$60</f>
        <v>0</v>
      </c>
      <c r="M64" s="89"/>
      <c r="N64" s="546" t="str">
        <f>"Bisheriger Verbrauch"&amp;" "&amp;Start!$D$2</f>
        <v>Bisheriger Verbrauch 2024</v>
      </c>
      <c r="O64" s="547"/>
      <c r="P64" s="548"/>
      <c r="Q64" s="89"/>
      <c r="T64" s="244"/>
      <c r="U64" s="242"/>
      <c r="V64" s="242"/>
      <c r="W64" s="242"/>
      <c r="X64" s="242"/>
      <c r="Y64" s="242"/>
      <c r="Z64" s="244"/>
      <c r="AA64" s="242"/>
      <c r="AB64" s="242"/>
      <c r="AC64" s="242"/>
      <c r="AD64" s="242"/>
      <c r="AE64" s="242"/>
      <c r="AF64" s="242"/>
      <c r="AG64" s="242"/>
      <c r="AH64" s="302"/>
    </row>
    <row r="65" spans="1:34" s="59" customFormat="1" ht="13" customHeight="1">
      <c r="A65" s="471"/>
      <c r="E65" s="140"/>
      <c r="G65" s="267" t="s">
        <v>99</v>
      </c>
      <c r="H65" s="268"/>
      <c r="I65" s="378"/>
      <c r="J65" s="378"/>
      <c r="K65" s="378"/>
      <c r="L65" s="379">
        <f>$L$63*$L$61</f>
        <v>0</v>
      </c>
      <c r="M65" s="89"/>
      <c r="N65" s="549"/>
      <c r="O65" s="550"/>
      <c r="P65" s="551"/>
      <c r="Q65" s="89"/>
      <c r="T65" s="244"/>
      <c r="U65" s="242"/>
      <c r="V65" s="242"/>
      <c r="W65" s="242"/>
      <c r="X65" s="242"/>
      <c r="Y65" s="242"/>
      <c r="Z65" s="244"/>
      <c r="AA65" s="242"/>
      <c r="AB65" s="242"/>
      <c r="AC65" s="242"/>
      <c r="AD65" s="242"/>
      <c r="AE65" s="242"/>
      <c r="AF65" s="242"/>
      <c r="AG65" s="242"/>
      <c r="AH65" s="302"/>
    </row>
    <row r="66" spans="1:34" s="59" customFormat="1" ht="13" customHeight="1">
      <c r="A66" s="471"/>
      <c r="E66" s="140"/>
      <c r="G66" s="380" t="s">
        <v>228</v>
      </c>
      <c r="H66" s="381"/>
      <c r="I66" s="382"/>
      <c r="J66" s="382"/>
      <c r="K66" s="382"/>
      <c r="L66" s="376">
        <f>SUM($U$52:$V$52)+$AH$52</f>
        <v>0</v>
      </c>
      <c r="N66" s="533" t="s">
        <v>234</v>
      </c>
      <c r="O66" s="534"/>
      <c r="P66" s="398">
        <f>SUM(Jänner:April!$D$51)</f>
        <v>0</v>
      </c>
      <c r="T66" s="244"/>
      <c r="U66" s="242"/>
      <c r="V66" s="242"/>
      <c r="W66" s="242"/>
      <c r="X66" s="242"/>
      <c r="Y66" s="242"/>
      <c r="Z66" s="244"/>
      <c r="AA66" s="242"/>
      <c r="AB66" s="242"/>
      <c r="AC66" s="242"/>
      <c r="AD66" s="242"/>
      <c r="AE66" s="242"/>
      <c r="AF66" s="242"/>
      <c r="AG66" s="242"/>
      <c r="AH66" s="302"/>
    </row>
    <row r="67" spans="1:34" s="59" customFormat="1" ht="13" customHeight="1">
      <c r="A67" s="471"/>
      <c r="D67" s="140"/>
      <c r="E67" s="140"/>
      <c r="G67" s="380" t="s">
        <v>103</v>
      </c>
      <c r="H67" s="381"/>
      <c r="I67" s="382"/>
      <c r="J67" s="382"/>
      <c r="K67" s="382"/>
      <c r="L67" s="376">
        <f>SUM($U$51:$W$51)+$AH$51</f>
        <v>0</v>
      </c>
      <c r="N67" s="533" t="s">
        <v>235</v>
      </c>
      <c r="O67" s="534"/>
      <c r="P67" s="398">
        <f>SUM(Jänner:April!$D$52)</f>
        <v>0</v>
      </c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42"/>
      <c r="AG67" s="242"/>
      <c r="AH67" s="302"/>
    </row>
    <row r="68" spans="1:34" s="59" customFormat="1" ht="13" customHeight="1">
      <c r="A68" s="471"/>
      <c r="D68" s="140"/>
      <c r="E68" s="140"/>
      <c r="G68" s="121" t="s">
        <v>100</v>
      </c>
      <c r="H68" s="122"/>
      <c r="I68" s="125"/>
      <c r="J68" s="125"/>
      <c r="K68" s="125"/>
      <c r="L68" s="377">
        <f>$L$66*$L$60</f>
        <v>0</v>
      </c>
      <c r="N68" s="533" t="s">
        <v>148</v>
      </c>
      <c r="O68" s="534"/>
      <c r="P68" s="398">
        <f>SUM(Jänner:April!$D$53)</f>
        <v>0</v>
      </c>
      <c r="T68" s="242"/>
      <c r="U68" s="242"/>
      <c r="V68" s="242"/>
      <c r="W68" s="242"/>
      <c r="X68" s="242"/>
      <c r="Y68" s="242"/>
      <c r="Z68" s="242"/>
      <c r="AA68" s="242"/>
      <c r="AB68" s="242"/>
      <c r="AC68" s="242"/>
      <c r="AD68" s="242"/>
      <c r="AE68" s="242"/>
      <c r="AF68" s="242"/>
      <c r="AG68" s="242"/>
      <c r="AH68" s="302"/>
    </row>
    <row r="69" spans="1:34" s="59" customFormat="1" ht="13" customHeight="1">
      <c r="A69" s="471"/>
      <c r="D69" s="140"/>
      <c r="E69" s="140"/>
      <c r="G69" s="383" t="s">
        <v>101</v>
      </c>
      <c r="H69" s="384"/>
      <c r="I69" s="378"/>
      <c r="J69" s="378"/>
      <c r="K69" s="378"/>
      <c r="L69" s="379">
        <f>$L$67*$L$61</f>
        <v>0</v>
      </c>
      <c r="N69" s="621" t="s">
        <v>166</v>
      </c>
      <c r="O69" s="622"/>
      <c r="P69" s="399">
        <f>SUM(Jänner:April!$D$54)</f>
        <v>0</v>
      </c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302"/>
    </row>
    <row r="70" spans="1:34" s="59" customFormat="1" ht="13" customHeight="1">
      <c r="A70" s="471"/>
      <c r="D70" s="140"/>
      <c r="E70" s="140"/>
      <c r="G70" s="374" t="s">
        <v>393</v>
      </c>
      <c r="H70" s="375"/>
      <c r="I70" s="125"/>
      <c r="J70" s="125"/>
      <c r="K70" s="125"/>
      <c r="L70" s="376">
        <f>SUM($AA$52:$AB$52)</f>
        <v>0</v>
      </c>
      <c r="N70" s="604" t="s">
        <v>389</v>
      </c>
      <c r="O70" s="605"/>
      <c r="P70" s="451">
        <f>SUM(Jänner:April!$B$56)</f>
        <v>0</v>
      </c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302"/>
    </row>
    <row r="71" spans="1:34" s="59" customFormat="1" ht="13" customHeight="1">
      <c r="A71" s="471"/>
      <c r="D71" s="140"/>
      <c r="E71" s="140"/>
      <c r="G71" s="374" t="s">
        <v>356</v>
      </c>
      <c r="H71" s="375"/>
      <c r="I71" s="125"/>
      <c r="J71" s="125"/>
      <c r="K71" s="125"/>
      <c r="L71" s="376">
        <f>SUM($AA$51:$AD$51)</f>
        <v>0</v>
      </c>
      <c r="N71" s="533" t="s">
        <v>390</v>
      </c>
      <c r="O71" s="534"/>
      <c r="P71" s="398">
        <f>SUM(Jänner:April!$B$57)</f>
        <v>0</v>
      </c>
      <c r="T71" s="242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302"/>
    </row>
    <row r="72" spans="1:34" s="59" customFormat="1" ht="13" customHeight="1">
      <c r="A72" s="471"/>
      <c r="D72" s="140"/>
      <c r="E72" s="140"/>
      <c r="G72" s="374" t="s">
        <v>98</v>
      </c>
      <c r="H72" s="375"/>
      <c r="I72" s="125"/>
      <c r="J72" s="125"/>
      <c r="K72" s="125"/>
      <c r="L72" s="377">
        <f>$L$70*$L$60</f>
        <v>0</v>
      </c>
      <c r="N72" s="606" t="s">
        <v>388</v>
      </c>
      <c r="O72" s="607"/>
      <c r="P72" s="450">
        <f>SUM(Jänner:April!$B$58)</f>
        <v>0</v>
      </c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302"/>
    </row>
    <row r="73" spans="1:34" s="59" customFormat="1" ht="13" customHeight="1">
      <c r="A73" s="471"/>
      <c r="D73" s="140"/>
      <c r="E73" s="315"/>
      <c r="G73" s="267" t="s">
        <v>99</v>
      </c>
      <c r="H73" s="268"/>
      <c r="I73" s="378"/>
      <c r="J73" s="378"/>
      <c r="K73" s="378"/>
      <c r="L73" s="379">
        <f>$L$71*$L$61</f>
        <v>0</v>
      </c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302"/>
    </row>
    <row r="74" spans="1:34" s="59" customFormat="1" ht="13" customHeight="1">
      <c r="A74" s="471"/>
      <c r="D74" s="140"/>
      <c r="G74" s="385" t="s">
        <v>288</v>
      </c>
      <c r="H74" s="386"/>
      <c r="I74" s="161"/>
      <c r="J74" s="161"/>
      <c r="K74" s="161"/>
      <c r="L74" s="387">
        <f>VLOOKUP($B$8,Datenblatt!$A$100:$F$112,6,FALSE)-SUM($D$55:$D$58)</f>
        <v>168</v>
      </c>
      <c r="T74" s="242"/>
      <c r="U74" s="242"/>
      <c r="V74" s="242"/>
      <c r="W74" s="242"/>
      <c r="X74" s="242"/>
      <c r="Y74" s="242"/>
      <c r="Z74" s="242"/>
      <c r="AA74" s="242"/>
      <c r="AB74" s="242"/>
      <c r="AC74" s="242"/>
      <c r="AD74" s="242"/>
      <c r="AE74" s="242"/>
      <c r="AF74" s="242"/>
      <c r="AG74" s="242"/>
      <c r="AH74" s="302"/>
    </row>
    <row r="75" spans="1:34" s="59" customFormat="1" ht="13" customHeight="1">
      <c r="A75" s="471"/>
      <c r="D75" s="140"/>
      <c r="T75" s="242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242"/>
      <c r="AF75" s="242"/>
      <c r="AG75" s="242"/>
      <c r="AH75" s="302"/>
    </row>
    <row r="76" spans="1:34" s="59" customFormat="1" ht="13" customHeight="1">
      <c r="A76" s="471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302"/>
    </row>
    <row r="77" spans="1:34" s="59" customFormat="1" ht="13" customHeight="1">
      <c r="A77" s="471"/>
      <c r="C77" s="164" t="s">
        <v>243</v>
      </c>
      <c r="D77" s="165"/>
      <c r="E77" s="166"/>
      <c r="F77" s="166"/>
      <c r="G77" s="166"/>
      <c r="H77" s="167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302"/>
    </row>
    <row r="78" spans="1:34" s="59" customFormat="1" ht="13" customHeight="1">
      <c r="A78" s="471"/>
      <c r="C78" s="121" t="s">
        <v>92</v>
      </c>
      <c r="D78" s="122"/>
      <c r="E78" s="123"/>
      <c r="F78" s="123"/>
      <c r="G78" s="123"/>
      <c r="H78" s="124">
        <f>SUMPRODUCT((WEEKDAY($B$13:$B$42,2)=6)*($D$13:$D$42="ND"))-SUMPRODUCT((WEEKDAY($B$13:$B$42,2)=6)*($D$13:$D$42="ND")*($A$13:$A$42="Ft"))</f>
        <v>0</v>
      </c>
      <c r="R78" s="120"/>
      <c r="S78" s="120"/>
      <c r="T78" s="242"/>
      <c r="U78" s="242"/>
      <c r="V78" s="242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  <c r="AH78" s="302"/>
    </row>
    <row r="79" spans="1:34" s="59" customFormat="1" ht="13" customHeight="1">
      <c r="A79" s="471"/>
      <c r="C79" s="121" t="s">
        <v>93</v>
      </c>
      <c r="D79" s="122"/>
      <c r="E79" s="123"/>
      <c r="F79" s="123"/>
      <c r="G79" s="123"/>
      <c r="H79" s="124">
        <f>SUMPRODUCT((WEEKDAY($B$14:$B$43,2)=7)*($D$14:$D$43="ND"))-SUMPRODUCT((WEEKDAY($B$14:$B$43,2)=7)*($D$14:$D$43="ND")*($A$14:$A$43="Ft"))</f>
        <v>0</v>
      </c>
      <c r="R79" s="120"/>
      <c r="S79" s="120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  <c r="AH79" s="302"/>
    </row>
    <row r="80" spans="1:34" s="59" customFormat="1" ht="13" customHeight="1">
      <c r="A80" s="471"/>
      <c r="C80" s="121" t="s">
        <v>94</v>
      </c>
      <c r="D80" s="122"/>
      <c r="E80" s="123"/>
      <c r="F80" s="123"/>
      <c r="G80" s="123"/>
      <c r="H80" s="124">
        <f>SUMPRODUCT(($D$14:$D$43="ND")*($A$14:$A$43="Ft"))</f>
        <v>0</v>
      </c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42"/>
      <c r="AG80" s="242"/>
      <c r="AH80" s="302"/>
    </row>
    <row r="81" spans="1:34" s="59" customFormat="1" ht="13" customHeight="1">
      <c r="A81" s="471"/>
      <c r="C81" s="121" t="s">
        <v>95</v>
      </c>
      <c r="D81" s="122"/>
      <c r="E81" s="125"/>
      <c r="F81" s="125"/>
      <c r="G81" s="125"/>
      <c r="H81" s="124">
        <f>SUMPRODUCT((WEEKDAY($C$13:$C$42,2)=7)*($D$13:$D$42="ND")*($A$14:$A$43="Ft"))-SUMPRODUCT((WEEKDAY($C$13:$C$42,2)=7)*($D$13:$D$42="ND")*($A$13:$A$42="Ft")*($A$14:$A$43="Ft"))</f>
        <v>0</v>
      </c>
      <c r="T81" s="242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  <c r="AH81" s="302"/>
    </row>
    <row r="82" spans="1:34" s="59" customFormat="1" ht="13" customHeight="1">
      <c r="A82" s="471"/>
      <c r="C82" s="121" t="s">
        <v>96</v>
      </c>
      <c r="D82" s="122"/>
      <c r="E82" s="125"/>
      <c r="F82" s="125"/>
      <c r="G82" s="125"/>
      <c r="H82" s="124">
        <f>SUMPRODUCT(($A$13:$A$42="Ft")*($D$13:$D$42="ND")*($A$14:$A$43="Ft"))</f>
        <v>0</v>
      </c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42"/>
      <c r="AG82" s="242"/>
      <c r="AH82" s="302"/>
    </row>
    <row r="83" spans="1:34" s="59" customFormat="1" ht="13" customHeight="1">
      <c r="A83" s="471"/>
      <c r="C83" s="121" t="s">
        <v>97</v>
      </c>
      <c r="D83" s="122"/>
      <c r="E83" s="125"/>
      <c r="F83" s="122"/>
      <c r="G83" s="122"/>
      <c r="H83" s="124">
        <f>SUMPRODUCT(($A$13:$A$42="Ft")*(WEEKDAY($C$14:$C$43,2)=7)*($D$13:$D$42="ND"))-SUMPRODUCT(($A$13:$A$42="Ft")*($A$14:$A$43="Ft")*(WEEKDAY($C$14:$C$43,2)=7)*($D$13:$D$42="ND"))</f>
        <v>0</v>
      </c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302"/>
    </row>
    <row r="84" spans="1:34" s="59" customFormat="1" ht="13" customHeight="1">
      <c r="A84" s="471"/>
      <c r="C84" s="126" t="s">
        <v>152</v>
      </c>
      <c r="D84" s="127"/>
      <c r="E84" s="161"/>
      <c r="F84" s="127"/>
      <c r="G84" s="127"/>
      <c r="H84" s="199">
        <f>SUMPRODUCT(($A$14:$A$43="Ft")*(WEEKDAY($C$13:$C$42,2)&lt;6)*($D$13:$D$42="ND"))-(SUMPRODUCT(($A$14:$A$43="Ft")*($A$13:$A$42="Ft")*(WEEKDAY($C$13:$C$42,2)&lt;6)*($D$13:$D$42="ND")))</f>
        <v>0</v>
      </c>
      <c r="T84" s="242"/>
      <c r="U84" s="242"/>
      <c r="V84" s="242"/>
      <c r="W84" s="242"/>
      <c r="X84" s="242"/>
      <c r="Y84" s="242"/>
      <c r="Z84" s="242"/>
      <c r="AA84" s="242"/>
      <c r="AB84" s="242"/>
      <c r="AC84" s="242"/>
      <c r="AD84" s="242"/>
      <c r="AE84" s="242"/>
      <c r="AF84" s="242"/>
      <c r="AG84" s="242"/>
      <c r="AH84" s="302"/>
    </row>
    <row r="85" spans="1:34" s="59" customFormat="1" ht="13" customHeight="1">
      <c r="A85" s="471"/>
      <c r="C85" s="164" t="s">
        <v>244</v>
      </c>
      <c r="D85" s="165"/>
      <c r="E85" s="166"/>
      <c r="F85" s="166"/>
      <c r="G85" s="166"/>
      <c r="H85" s="167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242"/>
      <c r="AF85" s="242"/>
      <c r="AG85" s="242"/>
      <c r="AH85" s="302"/>
    </row>
    <row r="86" spans="1:34" s="59" customFormat="1" ht="13" customHeight="1">
      <c r="A86" s="471"/>
      <c r="C86" s="267" t="s">
        <v>401</v>
      </c>
      <c r="D86" s="268"/>
      <c r="E86" s="268"/>
      <c r="F86" s="268"/>
      <c r="G86" s="268"/>
      <c r="H86" s="163"/>
      <c r="T86" s="242"/>
      <c r="U86" s="242"/>
      <c r="V86" s="242"/>
      <c r="W86" s="242"/>
      <c r="X86" s="242"/>
      <c r="Y86" s="242"/>
      <c r="Z86" s="242"/>
      <c r="AA86" s="242"/>
      <c r="AB86" s="242"/>
      <c r="AC86" s="242"/>
      <c r="AD86" s="242"/>
      <c r="AE86" s="242"/>
      <c r="AF86" s="242"/>
      <c r="AG86" s="242"/>
      <c r="AH86" s="302"/>
    </row>
    <row r="87" spans="1:34" s="59" customFormat="1" ht="13" customHeight="1">
      <c r="A87" s="471"/>
      <c r="C87" s="121" t="s">
        <v>16</v>
      </c>
      <c r="D87" s="122"/>
      <c r="E87" s="122"/>
      <c r="F87" s="122"/>
      <c r="G87" s="122"/>
      <c r="H87" s="124">
        <f>SUMPRODUCT((WEEKDAY($B$14:$B$43,2)=7)*($D$14:$D$43="TD"))+SUMPRODUCT(($D$14:$D$43="TD")*($A$14:$A$43="Ft"))-SUMPRODUCT((WEEKDAY($B$14:$B$43,2)=7)*($D$14:$D$43="TD")*($A$14:$A$43="Ft"))</f>
        <v>0</v>
      </c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  <c r="AH87" s="302"/>
    </row>
    <row r="88" spans="1:34" s="59" customFormat="1" ht="13" customHeight="1">
      <c r="A88" s="471"/>
      <c r="C88" s="121" t="s">
        <v>225</v>
      </c>
      <c r="D88" s="122"/>
      <c r="E88" s="122"/>
      <c r="F88" s="122"/>
      <c r="G88" s="122"/>
      <c r="H88" s="124">
        <f>SUMPRODUCT((WEEKDAY($B$14:$B$43,2)=7)*($D$14:$D$43="TD5,5"))+SUMPRODUCT(($D$14:$D$43="TD5,5")*($A$14:$A$43="Ft"))-SUMPRODUCT((WEEKDAY($B$14:$B$43,2)=7)*($D$14:$D$43="TD5,5")*($A$14:$A$43="Ft"))</f>
        <v>0</v>
      </c>
      <c r="T88" s="242"/>
      <c r="U88" s="242"/>
      <c r="V88" s="242"/>
      <c r="W88" s="242"/>
      <c r="X88" s="242"/>
      <c r="Y88" s="242"/>
      <c r="Z88" s="242"/>
      <c r="AA88" s="242"/>
      <c r="AB88" s="242"/>
      <c r="AC88" s="242"/>
      <c r="AD88" s="242"/>
      <c r="AE88" s="242"/>
      <c r="AF88" s="242"/>
      <c r="AG88" s="242"/>
      <c r="AH88" s="302"/>
    </row>
    <row r="89" spans="1:34" s="59" customFormat="1" ht="13" customHeight="1">
      <c r="A89" s="471"/>
      <c r="C89" s="121" t="s">
        <v>88</v>
      </c>
      <c r="D89" s="122"/>
      <c r="E89" s="122"/>
      <c r="F89" s="122"/>
      <c r="G89" s="122"/>
      <c r="H89" s="124">
        <f>SUMPRODUCT((WEEKDAY($B$14:$B$43,2)=7)*($D$14:$D$43="TD6"))+SUMPRODUCT(($D$14:$D$43="TD6")*($A$14:$A$43="Ft"))-SUMPRODUCT((WEEKDAY($B$14:$B$43,2)=7)*($D$14:$D$43="TD6")*($A$14:$A$43="Ft"))</f>
        <v>0</v>
      </c>
      <c r="T89" s="242"/>
      <c r="U89" s="242"/>
      <c r="V89" s="242"/>
      <c r="W89" s="242"/>
      <c r="X89" s="242"/>
      <c r="Y89" s="242"/>
      <c r="Z89" s="242"/>
      <c r="AA89" s="242"/>
      <c r="AB89" s="242"/>
      <c r="AC89" s="242"/>
      <c r="AD89" s="242"/>
      <c r="AE89" s="242"/>
      <c r="AF89" s="242"/>
      <c r="AG89" s="242"/>
      <c r="AH89" s="302"/>
    </row>
    <row r="90" spans="1:34" s="59" customFormat="1" ht="13" customHeight="1">
      <c r="A90" s="471"/>
      <c r="C90" s="121" t="s">
        <v>184</v>
      </c>
      <c r="D90" s="122"/>
      <c r="E90" s="122"/>
      <c r="F90" s="122"/>
      <c r="G90" s="122"/>
      <c r="H90" s="124">
        <f>SUMPRODUCT((WEEKDAY($B$14:$B$43,2)=7)*($D$14:$D$43="TD6,25"))+SUMPRODUCT(($D$14:$D$43="TD6,25")*($A$14:$A$43="Ft"))-SUMPRODUCT((WEEKDAY($B$14:$B$43,2)=7)*($D$14:$D$43="TD6,25")*($A$14:$A$43="Ft"))</f>
        <v>0</v>
      </c>
      <c r="T90" s="242"/>
      <c r="U90" s="242"/>
      <c r="V90" s="242"/>
      <c r="W90" s="242"/>
      <c r="X90" s="242"/>
      <c r="Y90" s="242"/>
      <c r="Z90" s="242"/>
      <c r="AA90" s="242"/>
      <c r="AB90" s="242"/>
      <c r="AC90" s="242"/>
      <c r="AD90" s="242"/>
      <c r="AE90" s="242"/>
      <c r="AF90" s="242"/>
      <c r="AG90" s="242"/>
      <c r="AH90" s="302"/>
    </row>
    <row r="91" spans="1:34" s="59" customFormat="1" ht="13" customHeight="1">
      <c r="A91" s="471"/>
      <c r="C91" s="121" t="s">
        <v>209</v>
      </c>
      <c r="D91" s="122"/>
      <c r="E91" s="122"/>
      <c r="F91" s="122"/>
      <c r="G91" s="122"/>
      <c r="H91" s="124">
        <f>SUMPRODUCT((WEEKDAY($B$14:$B$43,2)=7)*($D$14:$D$43="TD6,5"))+SUMPRODUCT(($D$14:$D$43="TD6,5")*($A$14:$A$43="Ft"))-SUMPRODUCT((WEEKDAY($B$14:$B$43,2)=7)*($D$14:$D$43="TD6,5")*($A$14:$A$43="Ft"))</f>
        <v>0</v>
      </c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302"/>
    </row>
    <row r="92" spans="1:34" s="59" customFormat="1" ht="13" customHeight="1">
      <c r="A92" s="471"/>
      <c r="C92" s="121" t="s">
        <v>86</v>
      </c>
      <c r="D92" s="122"/>
      <c r="E92" s="122"/>
      <c r="F92" s="122"/>
      <c r="G92" s="122"/>
      <c r="H92" s="124">
        <f>SUMPRODUCT((WEEKDAY($B$14:$B$43,2)=7)*($D$14:$D$43="TD7"))+SUMPRODUCT(($D$14:$D$43="TD7")*($A$14:$A$43="Ft"))-SUMPRODUCT((WEEKDAY($B$14:$B$43,2)=7)*($D$14:$D$43="TD7")*($A$14:$A$43="Ft"))</f>
        <v>0</v>
      </c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302"/>
    </row>
    <row r="93" spans="1:34" s="59" customFormat="1" ht="13" customHeight="1">
      <c r="A93" s="471"/>
      <c r="C93" s="121" t="s">
        <v>213</v>
      </c>
      <c r="D93" s="122"/>
      <c r="E93" s="122"/>
      <c r="F93" s="122"/>
      <c r="G93" s="122"/>
      <c r="H93" s="124">
        <f>SUMPRODUCT((WEEKDAY($B$14:$B$43,2)=7)*($D$14:$D$43="TD7,5"))+SUMPRODUCT(($D$14:$D$43="TD7,5")*($A$14:$A$43="Ft"))-SUMPRODUCT((WEEKDAY($B$14:$B$43,2)=7)*($D$14:$D$43="TD7,5")*($A$14:$A$43="Ft"))</f>
        <v>0</v>
      </c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302"/>
    </row>
    <row r="94" spans="1:34" s="59" customFormat="1" ht="13" customHeight="1">
      <c r="A94" s="471"/>
      <c r="C94" s="121" t="s">
        <v>71</v>
      </c>
      <c r="D94" s="122"/>
      <c r="E94" s="122"/>
      <c r="F94" s="122"/>
      <c r="G94" s="122"/>
      <c r="H94" s="124">
        <f>SUMPRODUCT((WEEKDAY($B$14:$B$43,2)=7)*($D$14:$D$43="TD8"))+SUMPRODUCT(($D$14:$D$43="TD8")*($A$14:$A$43="Ft"))-SUMPRODUCT((WEEKDAY($B$14:$B$43,2)=7)*($D$14:$D$43="TD8")*($A$14:$A$43="Ft"))</f>
        <v>0</v>
      </c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42"/>
      <c r="AG94" s="242"/>
      <c r="AH94" s="302"/>
    </row>
    <row r="95" spans="1:34" s="59" customFormat="1" ht="13" customHeight="1">
      <c r="A95" s="471"/>
      <c r="C95" s="121" t="s">
        <v>214</v>
      </c>
      <c r="D95" s="122"/>
      <c r="E95" s="122"/>
      <c r="F95" s="122"/>
      <c r="G95" s="122"/>
      <c r="H95" s="124">
        <f>SUMPRODUCT((WEEKDAY($B$14:$B$43,2)=7)*($D$14:$D$43="TD8,5"))+SUMPRODUCT(($D$14:$D$43="TD8,5")*($A$14:$A$43="Ft"))-SUMPRODUCT((WEEKDAY($B$14:$B$43,2)=7)*($D$14:$D$43="TD8,5")*($A$14:$A$43="Ft"))</f>
        <v>0</v>
      </c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302"/>
    </row>
    <row r="96" spans="1:34" ht="13" customHeight="1">
      <c r="C96" s="121" t="s">
        <v>84</v>
      </c>
      <c r="D96" s="122"/>
      <c r="E96" s="122"/>
      <c r="F96" s="122"/>
      <c r="G96" s="122"/>
      <c r="H96" s="124">
        <f>SUMPRODUCT((WEEKDAY($B$14:$B$43,2)=7)*($D$14:$D$43="TD9"))+SUMPRODUCT(($D$14:$D$43="TD9")*($A$14:$A$43="Ft"))-SUMPRODUCT((WEEKDAY($B$14:$B$43,2)=7)*($D$14:$D$43="TD9")*($A$14:$A$43="Ft"))</f>
        <v>0</v>
      </c>
    </row>
    <row r="97" spans="3:8" ht="13" customHeight="1">
      <c r="C97" s="121" t="s">
        <v>215</v>
      </c>
      <c r="D97" s="122"/>
      <c r="E97" s="122"/>
      <c r="F97" s="122"/>
      <c r="G97" s="122"/>
      <c r="H97" s="124">
        <f>SUMPRODUCT((WEEKDAY($B$14:$B$43,2)=7)*($D$14:$D$43="TD9,5"))+SUMPRODUCT(($D$14:$D$43="TD9,5")*($A$14:$A$43="Ft"))-SUMPRODUCT((WEEKDAY($B$14:$B$43,2)=7)*($D$14:$D$43="TD9,5")*($A$14:$A$43="Ft"))</f>
        <v>0</v>
      </c>
    </row>
    <row r="98" spans="3:8" ht="13" customHeight="1">
      <c r="C98" s="121" t="s">
        <v>413</v>
      </c>
      <c r="D98" s="122"/>
      <c r="E98" s="122"/>
      <c r="F98" s="122"/>
      <c r="G98" s="122"/>
      <c r="H98" s="124">
        <f>SUMPRODUCT((WEEKDAY($B$14:$B$43,2)=7)*($D$14:$D$43="TD10"))+SUMPRODUCT(($D$14:$D$43="TD10")*($A$14:$A$43="Ft"))-SUMPRODUCT((WEEKDAY($B$14:$B$43,2)=7)*($D$14:$D$43="TD10")*($A$14:$A$43="Ft"))</f>
        <v>0</v>
      </c>
    </row>
    <row r="99" spans="3:8" ht="13" customHeight="1">
      <c r="C99" s="121" t="s">
        <v>216</v>
      </c>
      <c r="D99" s="122"/>
      <c r="E99" s="122"/>
      <c r="F99" s="122"/>
      <c r="G99" s="122"/>
      <c r="H99" s="124">
        <f>SUMPRODUCT((WEEKDAY($B$14:$B$43,2)=7)*($D$14:$D$43="TD10,5"))+SUMPRODUCT(($D$14:$D$43="TD10,5")*($A$14:$A$43="Ft"))-SUMPRODUCT((WEEKDAY($B$14:$B$43,2)=7)*($D$14:$D$43="TD10,5")*($A$14:$A$43="Ft"))</f>
        <v>0</v>
      </c>
    </row>
    <row r="100" spans="3:8" ht="13" customHeight="1">
      <c r="C100" s="121" t="s">
        <v>217</v>
      </c>
      <c r="D100" s="122"/>
      <c r="E100" s="122"/>
      <c r="F100" s="122"/>
      <c r="G100" s="122"/>
      <c r="H100" s="124">
        <f>SUMPRODUCT((WEEKDAY($B$14:$B$43,2)=7)*($D$14:$D$43="TD11"))+SUMPRODUCT(($D$14:$D$43="TD11")*($A$14:$A$43="Ft"))-SUMPRODUCT((WEEKDAY($B$14:$B$43,2)=7)*($D$14:$D$43="TD11")*($A$14:$A$43="Ft"))</f>
        <v>0</v>
      </c>
    </row>
    <row r="101" spans="3:8" ht="13" customHeight="1">
      <c r="C101" s="121" t="s">
        <v>210</v>
      </c>
      <c r="D101" s="122"/>
      <c r="E101" s="122"/>
      <c r="F101" s="122"/>
      <c r="G101" s="122"/>
      <c r="H101" s="124">
        <f>SUMPRODUCT((WEEKDAY($B$14:$B$43,2)=7)*($D$14:$D$43="TD11,5"))+SUMPRODUCT(($D$14:$D$43="TD11,5")*($A$14:$A$43="Ft"))-SUMPRODUCT((WEEKDAY($B$14:$B$43,2)=7)*($D$14:$D$43="TD11,5")*($A$14:$A$43="Ft"))</f>
        <v>0</v>
      </c>
    </row>
    <row r="102" spans="3:8" ht="13" customHeight="1">
      <c r="C102" s="121" t="s">
        <v>218</v>
      </c>
      <c r="D102" s="122"/>
      <c r="E102" s="122"/>
      <c r="F102" s="122"/>
      <c r="G102" s="122"/>
      <c r="H102" s="124">
        <f>SUMPRODUCT((WEEKDAY($B$14:$B$43,2)=7)*($D$14:$D$43="TD12"))+SUMPRODUCT(($D$14:$D$43="TD12")*($A$14:$A$43="Ft"))-SUMPRODUCT((WEEKDAY($B$14:$B$43,2)=7)*($D$14:$D$43="TD12")*($A$14:$A$43="Ft"))</f>
        <v>0</v>
      </c>
    </row>
    <row r="103" spans="3:8" ht="13" customHeight="1">
      <c r="C103" s="121" t="s">
        <v>119</v>
      </c>
      <c r="D103" s="122"/>
      <c r="E103" s="122"/>
      <c r="F103" s="122"/>
      <c r="G103" s="122"/>
      <c r="H103" s="124">
        <f>SUMPRODUCT((WEEKDAY($B$14:$B$43,2)=7)*($D$14:$D$43="TD12,5"))+SUMPRODUCT(($D$14:$D$43="TD12,5")*($A$14:$A$43="Ft"))-SUMPRODUCT((WEEKDAY($B$14:$B$43,2)=7)*($D$14:$D$43="TD12,5")*($A$14:$A$43="Ft"))</f>
        <v>0</v>
      </c>
    </row>
    <row r="104" spans="3:8" ht="13" customHeight="1">
      <c r="C104" s="262" t="s">
        <v>149</v>
      </c>
      <c r="D104" s="263"/>
      <c r="E104" s="263"/>
      <c r="F104" s="263"/>
      <c r="G104" s="263"/>
      <c r="H104" s="162"/>
    </row>
    <row r="105" spans="3:8" ht="13" customHeight="1">
      <c r="C105" s="121" t="s">
        <v>153</v>
      </c>
      <c r="D105" s="122"/>
      <c r="E105" s="122"/>
      <c r="F105" s="122"/>
      <c r="G105" s="122"/>
      <c r="H105" s="124">
        <f>SUMPRODUCT((WEEKDAY($B$13:$B$42,2)=6)*($D$13:$D$42="ND12,5"))-SUMPRODUCT((WEEKDAY($B$13:$B$42,2)=6)*($D$13:$D$42="ND12,5")*($A$13:$A$42="Ft"))</f>
        <v>0</v>
      </c>
    </row>
    <row r="106" spans="3:8">
      <c r="C106" s="121" t="s">
        <v>150</v>
      </c>
      <c r="D106" s="125"/>
      <c r="E106" s="125"/>
      <c r="F106" s="125"/>
      <c r="G106" s="125"/>
      <c r="H106" s="124">
        <f>SUMPRODUCT((WEEKDAY($B$14:$B$43,2)=7)*($D$14:$D$43="ND12,5"))-SUMPRODUCT((WEEKDAY($B$14:$B$43,2)=7)*($D$14:$D$43="ND12,5")*($A$14:$A$43="Ft"))</f>
        <v>0</v>
      </c>
    </row>
    <row r="107" spans="3:8">
      <c r="C107" s="121" t="s">
        <v>151</v>
      </c>
      <c r="D107" s="125"/>
      <c r="E107" s="125"/>
      <c r="F107" s="125"/>
      <c r="G107" s="125"/>
      <c r="H107" s="124">
        <f>SUMPRODUCT(($D$14:$D$43="ND12,5")*($A$14:$A$43="Ft"))</f>
        <v>0</v>
      </c>
    </row>
    <row r="108" spans="3:8">
      <c r="C108" s="121" t="s">
        <v>155</v>
      </c>
      <c r="D108" s="125"/>
      <c r="E108" s="125"/>
      <c r="F108" s="125"/>
      <c r="G108" s="125"/>
      <c r="H108" s="124">
        <f>SUMPRODUCT((WEEKDAY($C$13:$C$42,2)=7)*($D$13:$D$42="ND12,5")*($A$14:$A$43="Ft"))-SUMPRODUCT((WEEKDAY($C$13:$C$42,2)=7)*($D$13:$D$42="ND12,5")*($A$13:$A$42="Ft")*($A$14:$A$43="Ft"))</f>
        <v>0</v>
      </c>
    </row>
    <row r="109" spans="3:8">
      <c r="C109" s="121" t="s">
        <v>156</v>
      </c>
      <c r="D109" s="125"/>
      <c r="E109" s="125"/>
      <c r="F109" s="125"/>
      <c r="G109" s="125"/>
      <c r="H109" s="124">
        <f>SUMPRODUCT(($A$13:$A$42="Ft")*($D$13:$D$42="ND12,5")*($A$14:$A$43="Ft"))</f>
        <v>0</v>
      </c>
    </row>
    <row r="110" spans="3:8">
      <c r="C110" s="121" t="s">
        <v>157</v>
      </c>
      <c r="D110" s="125"/>
      <c r="E110" s="125"/>
      <c r="F110" s="125"/>
      <c r="G110" s="125"/>
      <c r="H110" s="124">
        <f>SUMPRODUCT(($A$13:$A$42="Ft")*(WEEKDAY($C$14:$C$43,2)=7)*($D$13:$D$42="ND12,5"))-SUMPRODUCT(($A$13:$A$42="Ft")*($A$14:$A$43="Ft")*(WEEKDAY($C$14:$C$43,2)=7)*($D$13:$D$42="ND12,5"))</f>
        <v>0</v>
      </c>
    </row>
    <row r="111" spans="3:8">
      <c r="C111" s="126" t="s">
        <v>154</v>
      </c>
      <c r="D111" s="161"/>
      <c r="E111" s="161"/>
      <c r="F111" s="161"/>
      <c r="G111" s="161"/>
      <c r="H111" s="199">
        <f>SUMPRODUCT(($A$14:$A$43="Ft")*(WEEKDAY($C$13:$C$42,2)&lt;6)*($D$13:$D$42="ND12,5"))-(SUMPRODUCT(($A$14:$A$43="Ft")*($A$13:$A$42="Ft")*(WEEKDAY($C$13:$C$42,2)&lt;6)*($D$13:$D$42="ND12,5")))</f>
        <v>0</v>
      </c>
    </row>
  </sheetData>
  <sheetProtection algorithmName="SHA-512" hashValue="div+PyQAognKpEg5p80dMMpk/v8tU/G0VBQIh+opf2v2iFzEaqKIt1WVseTeARHU9oM3sDaJX+vvYba9INc5ZQ==" saltValue="KsgOn5ambMjvXMjhOfyrUw==" spinCount="100000" sheet="1" selectLockedCells="1"/>
  <mergeCells count="63">
    <mergeCell ref="N70:O70"/>
    <mergeCell ref="N71:O71"/>
    <mergeCell ref="N72:O72"/>
    <mergeCell ref="K9:K11"/>
    <mergeCell ref="J9:J11"/>
    <mergeCell ref="N13:O13"/>
    <mergeCell ref="L9:L11"/>
    <mergeCell ref="M9:M11"/>
    <mergeCell ref="L46:O46"/>
    <mergeCell ref="L47:O47"/>
    <mergeCell ref="N61:O61"/>
    <mergeCell ref="N62:O62"/>
    <mergeCell ref="N56:O56"/>
    <mergeCell ref="N57:O57"/>
    <mergeCell ref="N58:P59"/>
    <mergeCell ref="N60:O60"/>
    <mergeCell ref="C50:D50"/>
    <mergeCell ref="G54:I54"/>
    <mergeCell ref="N50:P51"/>
    <mergeCell ref="N52:O52"/>
    <mergeCell ref="N53:O53"/>
    <mergeCell ref="N54:O54"/>
    <mergeCell ref="F6:J6"/>
    <mergeCell ref="H8:J8"/>
    <mergeCell ref="B9:C11"/>
    <mergeCell ref="D9:D11"/>
    <mergeCell ref="E9:E11"/>
    <mergeCell ref="F9:G10"/>
    <mergeCell ref="H9:I10"/>
    <mergeCell ref="B3:J4"/>
    <mergeCell ref="N8:P8"/>
    <mergeCell ref="B8:C8"/>
    <mergeCell ref="B7:C7"/>
    <mergeCell ref="K6:M6"/>
    <mergeCell ref="N6:P6"/>
    <mergeCell ref="K7:M7"/>
    <mergeCell ref="N7:P7"/>
    <mergeCell ref="E7:G7"/>
    <mergeCell ref="H7:J7"/>
    <mergeCell ref="K8:M8"/>
    <mergeCell ref="E8:G8"/>
    <mergeCell ref="B5:E5"/>
    <mergeCell ref="B6:E6"/>
    <mergeCell ref="F5:J5"/>
    <mergeCell ref="K5:M5"/>
    <mergeCell ref="N5:P5"/>
    <mergeCell ref="AG10:AG11"/>
    <mergeCell ref="S9:S11"/>
    <mergeCell ref="P9:P11"/>
    <mergeCell ref="O9:O11"/>
    <mergeCell ref="Q9:Q11"/>
    <mergeCell ref="R9:R11"/>
    <mergeCell ref="AF10:AF11"/>
    <mergeCell ref="AA10:AE10"/>
    <mergeCell ref="U10:Y10"/>
    <mergeCell ref="N9:N11"/>
    <mergeCell ref="N55:O55"/>
    <mergeCell ref="N63:O63"/>
    <mergeCell ref="N64:P65"/>
    <mergeCell ref="N69:O69"/>
    <mergeCell ref="N67:O67"/>
    <mergeCell ref="N68:O68"/>
    <mergeCell ref="N66:O66"/>
  </mergeCells>
  <conditionalFormatting sqref="A13:A43">
    <cfRule type="cellIs" dxfId="373" priority="2" operator="equal">
      <formula>"HFT"</formula>
    </cfRule>
    <cfRule type="cellIs" dxfId="372" priority="3" operator="equal">
      <formula>"FT"</formula>
    </cfRule>
  </conditionalFormatting>
  <conditionalFormatting sqref="A44">
    <cfRule type="cellIs" dxfId="371" priority="222" operator="equal">
      <formula>"Ft"</formula>
    </cfRule>
  </conditionalFormatting>
  <conditionalFormatting sqref="B13:C43">
    <cfRule type="expression" dxfId="369" priority="223">
      <formula>WEEKDAY($C13,2)&gt;5</formula>
    </cfRule>
  </conditionalFormatting>
  <conditionalFormatting sqref="E8">
    <cfRule type="cellIs" dxfId="368" priority="34" operator="greaterThan">
      <formula>48</formula>
    </cfRule>
  </conditionalFormatting>
  <conditionalFormatting sqref="I46:K46">
    <cfRule type="cellIs" dxfId="367" priority="74" operator="equal">
      <formula>"Wochenarbeitszeit überschritten"</formula>
    </cfRule>
  </conditionalFormatting>
  <conditionalFormatting sqref="J44:P44">
    <cfRule type="cellIs" dxfId="366" priority="114" operator="equal">
      <formula>0</formula>
    </cfRule>
  </conditionalFormatting>
  <conditionalFormatting sqref="K8">
    <cfRule type="cellIs" dxfId="365" priority="154" operator="greaterThan">
      <formula>$N$8</formula>
    </cfRule>
    <cfRule type="cellIs" dxfId="364" priority="153" operator="equal">
      <formula>$N$8</formula>
    </cfRule>
    <cfRule type="cellIs" dxfId="363" priority="155" operator="lessThan">
      <formula>$N$8</formula>
    </cfRule>
  </conditionalFormatting>
  <conditionalFormatting sqref="K14:K43">
    <cfRule type="cellIs" dxfId="362" priority="22" operator="lessThanOrEqual">
      <formula>0</formula>
    </cfRule>
    <cfRule type="cellIs" dxfId="361" priority="23" operator="greaterThan">
      <formula>0</formula>
    </cfRule>
  </conditionalFormatting>
  <conditionalFormatting sqref="K44">
    <cfRule type="cellIs" dxfId="360" priority="199" operator="lessThan">
      <formula>0</formula>
    </cfRule>
  </conditionalFormatting>
  <conditionalFormatting sqref="N14:O43">
    <cfRule type="cellIs" dxfId="359" priority="5" operator="equal">
      <formula>0</formula>
    </cfRule>
  </conditionalFormatting>
  <conditionalFormatting sqref="P13:P43">
    <cfRule type="cellIs" dxfId="358" priority="1" operator="equal">
      <formula>0</formula>
    </cfRule>
  </conditionalFormatting>
  <conditionalFormatting sqref="P60:P63">
    <cfRule type="cellIs" dxfId="357" priority="48" operator="lessThan">
      <formula>0</formula>
    </cfRule>
  </conditionalFormatting>
  <conditionalFormatting sqref="Q46">
    <cfRule type="cellIs" dxfId="356" priority="37" operator="equal">
      <formula>0</formula>
    </cfRule>
  </conditionalFormatting>
  <conditionalFormatting sqref="T14:T43">
    <cfRule type="cellIs" dxfId="355" priority="219" operator="equal">
      <formula>0</formula>
    </cfRule>
  </conditionalFormatting>
  <conditionalFormatting sqref="T51:W51">
    <cfRule type="cellIs" dxfId="354" priority="19" operator="equal">
      <formula>0</formula>
    </cfRule>
  </conditionalFormatting>
  <conditionalFormatting sqref="T44:AH44">
    <cfRule type="cellIs" dxfId="353" priority="43" operator="equal">
      <formula>0</formula>
    </cfRule>
  </conditionalFormatting>
  <conditionalFormatting sqref="U15:W43">
    <cfRule type="cellIs" dxfId="352" priority="181" operator="equal">
      <formula>0</formula>
    </cfRule>
  </conditionalFormatting>
  <conditionalFormatting sqref="U51:Y53">
    <cfRule type="cellIs" dxfId="351" priority="9" operator="equal">
      <formula>0</formula>
    </cfRule>
  </conditionalFormatting>
  <conditionalFormatting sqref="V14">
    <cfRule type="cellIs" dxfId="350" priority="218" operator="equal">
      <formula>0</formula>
    </cfRule>
  </conditionalFormatting>
  <conditionalFormatting sqref="V13:W13">
    <cfRule type="cellIs" dxfId="349" priority="124" operator="equal">
      <formula>0</formula>
    </cfRule>
  </conditionalFormatting>
  <conditionalFormatting sqref="W52">
    <cfRule type="cellIs" dxfId="348" priority="13" operator="equal">
      <formula>0</formula>
    </cfRule>
  </conditionalFormatting>
  <conditionalFormatting sqref="X13:Z43">
    <cfRule type="cellIs" dxfId="347" priority="51" operator="equal">
      <formula>0</formula>
    </cfRule>
  </conditionalFormatting>
  <conditionalFormatting sqref="Z51:AC51">
    <cfRule type="cellIs" dxfId="346" priority="17" operator="equal">
      <formula>0</formula>
    </cfRule>
  </conditionalFormatting>
  <conditionalFormatting sqref="AA14:AB43">
    <cfRule type="cellIs" dxfId="345" priority="24" operator="equal">
      <formula>0</formula>
    </cfRule>
  </conditionalFormatting>
  <conditionalFormatting sqref="AA51:AE52">
    <cfRule type="cellIs" dxfId="344" priority="14" operator="equal">
      <formula>0</formula>
    </cfRule>
  </conditionalFormatting>
  <conditionalFormatting sqref="AC13:AG43">
    <cfRule type="cellIs" dxfId="343" priority="50" operator="equal">
      <formula>0</formula>
    </cfRule>
  </conditionalFormatting>
  <conditionalFormatting sqref="AG51:AH51">
    <cfRule type="cellIs" dxfId="342" priority="8" operator="equal">
      <formula>0</formula>
    </cfRule>
  </conditionalFormatting>
  <conditionalFormatting sqref="AH14:AH43">
    <cfRule type="cellIs" dxfId="341" priority="26" operator="equal">
      <formula>0</formula>
    </cfRule>
  </conditionalFormatting>
  <conditionalFormatting sqref="AH51:AH52">
    <cfRule type="cellIs" dxfId="340" priority="6" operator="equal">
      <formula>0</formula>
    </cfRule>
  </conditionalFormatting>
  <dataValidations count="4">
    <dataValidation type="list" allowBlank="1" showInputMessage="1" showErrorMessage="1" sqref="J14:J43" xr:uid="{113D733B-46AB-4CBC-8828-CCB8CCC0751B}">
      <formula1>AbwesenheitenStunden</formula1>
    </dataValidation>
    <dataValidation type="list" allowBlank="1" showInputMessage="1" showErrorMessage="1" error="Die Eingabe ist unzulässig_x000a_Bitte Drop Down Felder verwenden" sqref="F14:G43" xr:uid="{5F1C2FAA-BD65-4DC3-9DDC-205B126696C7}">
      <formula1>Zeiten1</formula1>
    </dataValidation>
    <dataValidation type="decimal" allowBlank="1" showInputMessage="1" showErrorMessage="1" error="Die ausgewählte Stundenanzahl steht nicht zur Verfügung!" sqref="J54" xr:uid="{00000000-0002-0000-0600-000003000000}">
      <formula1>0</formula1>
      <formula2>K54</formula2>
    </dataValidation>
    <dataValidation type="list" allowBlank="1" showInputMessage="1" showErrorMessage="1" sqref="H14:I43" xr:uid="{02013698-0FA3-42DB-A481-19E5600D8771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5" id="{C49A6716-1014-4A62-99E4-88643401A291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600-000007000000}">
          <x14:formula1>
            <xm:f>Datenblatt!$A$31:$A$51</xm:f>
          </x14:formula1>
          <xm:sqref>A45 L45:AE45 AI45:XFD45 AF46:AH46</xm:sqref>
        </x14:dataValidation>
        <x14:dataValidation type="list" allowBlank="1" showInputMessage="1" showErrorMessage="1" xr:uid="{233F8769-5C1C-4715-9C03-6456C2F4223A}">
          <x14:formula1>
            <xm:f>IF((WEEKDAY(C14,2)&gt;=6),SF,IF((COUNTIF(Datenblatt!$B$84:$B$97,C14)=1),SF,IF(OR(D14="U",D14="ZA",D14="NDG",D14="SU",D14="PK",D14="RG",D14="Z0",D14="K",D14="WR"),SF,SpA)))</xm:f>
          </x14:formula1>
          <xm:sqref>E14:E43</xm:sqref>
        </x14:dataValidation>
        <x14:dataValidation type="list" allowBlank="1" showInputMessage="1" showErrorMessage="1" xr:uid="{FCBA3C68-3206-41E2-8039-FCDD94F7E287}">
          <x14:formula1>
            <xm:f>IF((WEEKDAY(C14,2)&gt;=6),SF,IF((COUNTIF(Datenblatt!$B$84:$C$97,C14)=1),SF,Tagespräsenz))</xm:f>
          </x14:formula1>
          <xm:sqref>D14:D43</xm:sqref>
        </x14:dataValidation>
        <x14:dataValidation type="list" allowBlank="1" showInputMessage="1" showErrorMessage="1" xr:uid="{FA5E6232-C7C0-4E2F-B599-47D35243FB68}">
          <x14:formula1>
            <xm:f>Datenblatt!$D$58:$D$59</xm:f>
          </x14:formula1>
          <xm:sqref>P46 J58</xm:sqref>
        </x14:dataValidation>
        <x14:dataValidation type="list" allowBlank="1" showInputMessage="1" showErrorMessage="1" xr:uid="{435029A9-7D68-4C5D-B12C-F41FA8A800DD}">
          <x14:formula1>
            <xm:f>Datenblatt!$D$52:$D$53</xm:f>
          </x14:formula1>
          <xm:sqref>P47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71" customWidth="1"/>
    <col min="2" max="2" width="3.1640625" style="56" customWidth="1"/>
    <col min="3" max="3" width="8.83203125" style="56" customWidth="1"/>
    <col min="4" max="5" width="9.83203125" style="56" customWidth="1"/>
    <col min="6" max="10" width="9.1640625" style="56" customWidth="1"/>
    <col min="11" max="16" width="8.83203125" style="56" customWidth="1"/>
    <col min="17" max="17" width="23.5" style="66" customWidth="1"/>
    <col min="18" max="18" width="36.5" style="66" customWidth="1"/>
    <col min="19" max="19" width="43.5" style="56" customWidth="1"/>
    <col min="20" max="33" width="7.1640625" style="234" customWidth="1"/>
    <col min="34" max="34" width="7.1640625" style="301" customWidth="1"/>
    <col min="35" max="264" width="11.5" style="56"/>
    <col min="265" max="265" width="0.5" style="56" customWidth="1"/>
    <col min="266" max="266" width="3.1640625" style="56" customWidth="1"/>
    <col min="267" max="267" width="8.83203125" style="56" customWidth="1"/>
    <col min="268" max="268" width="14.83203125" style="56" customWidth="1"/>
    <col min="269" max="270" width="6.5" style="56" customWidth="1"/>
    <col min="271" max="271" width="14.83203125" style="56" customWidth="1"/>
    <col min="272" max="273" width="11.5" style="56" customWidth="1"/>
    <col min="274" max="274" width="6.1640625" style="56" customWidth="1"/>
    <col min="275" max="275" width="22.83203125" style="56" customWidth="1"/>
    <col min="276" max="276" width="11.5" style="56" customWidth="1"/>
    <col min="277" max="277" width="13.83203125" style="56" customWidth="1"/>
    <col min="278" max="278" width="5.83203125" style="56" customWidth="1"/>
    <col min="279" max="279" width="15.5" style="56" customWidth="1"/>
    <col min="280" max="520" width="11.5" style="56"/>
    <col min="521" max="521" width="0.5" style="56" customWidth="1"/>
    <col min="522" max="522" width="3.1640625" style="56" customWidth="1"/>
    <col min="523" max="523" width="8.83203125" style="56" customWidth="1"/>
    <col min="524" max="524" width="14.83203125" style="56" customWidth="1"/>
    <col min="525" max="526" width="6.5" style="56" customWidth="1"/>
    <col min="527" max="527" width="14.83203125" style="56" customWidth="1"/>
    <col min="528" max="529" width="11.5" style="56" customWidth="1"/>
    <col min="530" max="530" width="6.1640625" style="56" customWidth="1"/>
    <col min="531" max="531" width="22.83203125" style="56" customWidth="1"/>
    <col min="532" max="532" width="11.5" style="56" customWidth="1"/>
    <col min="533" max="533" width="13.83203125" style="56" customWidth="1"/>
    <col min="534" max="534" width="5.83203125" style="56" customWidth="1"/>
    <col min="535" max="535" width="15.5" style="56" customWidth="1"/>
    <col min="536" max="776" width="11.5" style="56"/>
    <col min="777" max="777" width="0.5" style="56" customWidth="1"/>
    <col min="778" max="778" width="3.1640625" style="56" customWidth="1"/>
    <col min="779" max="779" width="8.83203125" style="56" customWidth="1"/>
    <col min="780" max="780" width="14.83203125" style="56" customWidth="1"/>
    <col min="781" max="782" width="6.5" style="56" customWidth="1"/>
    <col min="783" max="783" width="14.83203125" style="56" customWidth="1"/>
    <col min="784" max="785" width="11.5" style="56" customWidth="1"/>
    <col min="786" max="786" width="6.1640625" style="56" customWidth="1"/>
    <col min="787" max="787" width="22.83203125" style="56" customWidth="1"/>
    <col min="788" max="788" width="11.5" style="56" customWidth="1"/>
    <col min="789" max="789" width="13.83203125" style="56" customWidth="1"/>
    <col min="790" max="790" width="5.83203125" style="56" customWidth="1"/>
    <col min="791" max="791" width="15.5" style="56" customWidth="1"/>
    <col min="792" max="1032" width="11.5" style="56"/>
    <col min="1033" max="1033" width="0.5" style="56" customWidth="1"/>
    <col min="1034" max="1034" width="3.1640625" style="56" customWidth="1"/>
    <col min="1035" max="1035" width="8.83203125" style="56" customWidth="1"/>
    <col min="1036" max="1036" width="14.83203125" style="56" customWidth="1"/>
    <col min="1037" max="1038" width="6.5" style="56" customWidth="1"/>
    <col min="1039" max="1039" width="14.83203125" style="56" customWidth="1"/>
    <col min="1040" max="1041" width="11.5" style="56" customWidth="1"/>
    <col min="1042" max="1042" width="6.1640625" style="56" customWidth="1"/>
    <col min="1043" max="1043" width="22.83203125" style="56" customWidth="1"/>
    <col min="1044" max="1044" width="11.5" style="56" customWidth="1"/>
    <col min="1045" max="1045" width="13.83203125" style="56" customWidth="1"/>
    <col min="1046" max="1046" width="5.83203125" style="56" customWidth="1"/>
    <col min="1047" max="1047" width="15.5" style="56" customWidth="1"/>
    <col min="1048" max="1288" width="11.5" style="56"/>
    <col min="1289" max="1289" width="0.5" style="56" customWidth="1"/>
    <col min="1290" max="1290" width="3.1640625" style="56" customWidth="1"/>
    <col min="1291" max="1291" width="8.83203125" style="56" customWidth="1"/>
    <col min="1292" max="1292" width="14.83203125" style="56" customWidth="1"/>
    <col min="1293" max="1294" width="6.5" style="56" customWidth="1"/>
    <col min="1295" max="1295" width="14.83203125" style="56" customWidth="1"/>
    <col min="1296" max="1297" width="11.5" style="56" customWidth="1"/>
    <col min="1298" max="1298" width="6.1640625" style="56" customWidth="1"/>
    <col min="1299" max="1299" width="22.83203125" style="56" customWidth="1"/>
    <col min="1300" max="1300" width="11.5" style="56" customWidth="1"/>
    <col min="1301" max="1301" width="13.83203125" style="56" customWidth="1"/>
    <col min="1302" max="1302" width="5.83203125" style="56" customWidth="1"/>
    <col min="1303" max="1303" width="15.5" style="56" customWidth="1"/>
    <col min="1304" max="1544" width="11.5" style="56"/>
    <col min="1545" max="1545" width="0.5" style="56" customWidth="1"/>
    <col min="1546" max="1546" width="3.1640625" style="56" customWidth="1"/>
    <col min="1547" max="1547" width="8.83203125" style="56" customWidth="1"/>
    <col min="1548" max="1548" width="14.83203125" style="56" customWidth="1"/>
    <col min="1549" max="1550" width="6.5" style="56" customWidth="1"/>
    <col min="1551" max="1551" width="14.83203125" style="56" customWidth="1"/>
    <col min="1552" max="1553" width="11.5" style="56" customWidth="1"/>
    <col min="1554" max="1554" width="6.1640625" style="56" customWidth="1"/>
    <col min="1555" max="1555" width="22.83203125" style="56" customWidth="1"/>
    <col min="1556" max="1556" width="11.5" style="56" customWidth="1"/>
    <col min="1557" max="1557" width="13.83203125" style="56" customWidth="1"/>
    <col min="1558" max="1558" width="5.83203125" style="56" customWidth="1"/>
    <col min="1559" max="1559" width="15.5" style="56" customWidth="1"/>
    <col min="1560" max="1800" width="11.5" style="56"/>
    <col min="1801" max="1801" width="0.5" style="56" customWidth="1"/>
    <col min="1802" max="1802" width="3.1640625" style="56" customWidth="1"/>
    <col min="1803" max="1803" width="8.83203125" style="56" customWidth="1"/>
    <col min="1804" max="1804" width="14.83203125" style="56" customWidth="1"/>
    <col min="1805" max="1806" width="6.5" style="56" customWidth="1"/>
    <col min="1807" max="1807" width="14.83203125" style="56" customWidth="1"/>
    <col min="1808" max="1809" width="11.5" style="56" customWidth="1"/>
    <col min="1810" max="1810" width="6.1640625" style="56" customWidth="1"/>
    <col min="1811" max="1811" width="22.83203125" style="56" customWidth="1"/>
    <col min="1812" max="1812" width="11.5" style="56" customWidth="1"/>
    <col min="1813" max="1813" width="13.83203125" style="56" customWidth="1"/>
    <col min="1814" max="1814" width="5.83203125" style="56" customWidth="1"/>
    <col min="1815" max="1815" width="15.5" style="56" customWidth="1"/>
    <col min="1816" max="2056" width="11.5" style="56"/>
    <col min="2057" max="2057" width="0.5" style="56" customWidth="1"/>
    <col min="2058" max="2058" width="3.1640625" style="56" customWidth="1"/>
    <col min="2059" max="2059" width="8.83203125" style="56" customWidth="1"/>
    <col min="2060" max="2060" width="14.83203125" style="56" customWidth="1"/>
    <col min="2061" max="2062" width="6.5" style="56" customWidth="1"/>
    <col min="2063" max="2063" width="14.83203125" style="56" customWidth="1"/>
    <col min="2064" max="2065" width="11.5" style="56" customWidth="1"/>
    <col min="2066" max="2066" width="6.1640625" style="56" customWidth="1"/>
    <col min="2067" max="2067" width="22.83203125" style="56" customWidth="1"/>
    <col min="2068" max="2068" width="11.5" style="56" customWidth="1"/>
    <col min="2069" max="2069" width="13.83203125" style="56" customWidth="1"/>
    <col min="2070" max="2070" width="5.83203125" style="56" customWidth="1"/>
    <col min="2071" max="2071" width="15.5" style="56" customWidth="1"/>
    <col min="2072" max="2312" width="11.5" style="56"/>
    <col min="2313" max="2313" width="0.5" style="56" customWidth="1"/>
    <col min="2314" max="2314" width="3.1640625" style="56" customWidth="1"/>
    <col min="2315" max="2315" width="8.83203125" style="56" customWidth="1"/>
    <col min="2316" max="2316" width="14.83203125" style="56" customWidth="1"/>
    <col min="2317" max="2318" width="6.5" style="56" customWidth="1"/>
    <col min="2319" max="2319" width="14.83203125" style="56" customWidth="1"/>
    <col min="2320" max="2321" width="11.5" style="56" customWidth="1"/>
    <col min="2322" max="2322" width="6.1640625" style="56" customWidth="1"/>
    <col min="2323" max="2323" width="22.83203125" style="56" customWidth="1"/>
    <col min="2324" max="2324" width="11.5" style="56" customWidth="1"/>
    <col min="2325" max="2325" width="13.83203125" style="56" customWidth="1"/>
    <col min="2326" max="2326" width="5.83203125" style="56" customWidth="1"/>
    <col min="2327" max="2327" width="15.5" style="56" customWidth="1"/>
    <col min="2328" max="2568" width="11.5" style="56"/>
    <col min="2569" max="2569" width="0.5" style="56" customWidth="1"/>
    <col min="2570" max="2570" width="3.1640625" style="56" customWidth="1"/>
    <col min="2571" max="2571" width="8.83203125" style="56" customWidth="1"/>
    <col min="2572" max="2572" width="14.83203125" style="56" customWidth="1"/>
    <col min="2573" max="2574" width="6.5" style="56" customWidth="1"/>
    <col min="2575" max="2575" width="14.83203125" style="56" customWidth="1"/>
    <col min="2576" max="2577" width="11.5" style="56" customWidth="1"/>
    <col min="2578" max="2578" width="6.1640625" style="56" customWidth="1"/>
    <col min="2579" max="2579" width="22.83203125" style="56" customWidth="1"/>
    <col min="2580" max="2580" width="11.5" style="56" customWidth="1"/>
    <col min="2581" max="2581" width="13.83203125" style="56" customWidth="1"/>
    <col min="2582" max="2582" width="5.83203125" style="56" customWidth="1"/>
    <col min="2583" max="2583" width="15.5" style="56" customWidth="1"/>
    <col min="2584" max="2824" width="11.5" style="56"/>
    <col min="2825" max="2825" width="0.5" style="56" customWidth="1"/>
    <col min="2826" max="2826" width="3.1640625" style="56" customWidth="1"/>
    <col min="2827" max="2827" width="8.83203125" style="56" customWidth="1"/>
    <col min="2828" max="2828" width="14.83203125" style="56" customWidth="1"/>
    <col min="2829" max="2830" width="6.5" style="56" customWidth="1"/>
    <col min="2831" max="2831" width="14.83203125" style="56" customWidth="1"/>
    <col min="2832" max="2833" width="11.5" style="56" customWidth="1"/>
    <col min="2834" max="2834" width="6.1640625" style="56" customWidth="1"/>
    <col min="2835" max="2835" width="22.83203125" style="56" customWidth="1"/>
    <col min="2836" max="2836" width="11.5" style="56" customWidth="1"/>
    <col min="2837" max="2837" width="13.83203125" style="56" customWidth="1"/>
    <col min="2838" max="2838" width="5.83203125" style="56" customWidth="1"/>
    <col min="2839" max="2839" width="15.5" style="56" customWidth="1"/>
    <col min="2840" max="3080" width="11.5" style="56"/>
    <col min="3081" max="3081" width="0.5" style="56" customWidth="1"/>
    <col min="3082" max="3082" width="3.1640625" style="56" customWidth="1"/>
    <col min="3083" max="3083" width="8.83203125" style="56" customWidth="1"/>
    <col min="3084" max="3084" width="14.83203125" style="56" customWidth="1"/>
    <col min="3085" max="3086" width="6.5" style="56" customWidth="1"/>
    <col min="3087" max="3087" width="14.83203125" style="56" customWidth="1"/>
    <col min="3088" max="3089" width="11.5" style="56" customWidth="1"/>
    <col min="3090" max="3090" width="6.1640625" style="56" customWidth="1"/>
    <col min="3091" max="3091" width="22.83203125" style="56" customWidth="1"/>
    <col min="3092" max="3092" width="11.5" style="56" customWidth="1"/>
    <col min="3093" max="3093" width="13.83203125" style="56" customWidth="1"/>
    <col min="3094" max="3094" width="5.83203125" style="56" customWidth="1"/>
    <col min="3095" max="3095" width="15.5" style="56" customWidth="1"/>
    <col min="3096" max="3336" width="11.5" style="56"/>
    <col min="3337" max="3337" width="0.5" style="56" customWidth="1"/>
    <col min="3338" max="3338" width="3.1640625" style="56" customWidth="1"/>
    <col min="3339" max="3339" width="8.83203125" style="56" customWidth="1"/>
    <col min="3340" max="3340" width="14.83203125" style="56" customWidth="1"/>
    <col min="3341" max="3342" width="6.5" style="56" customWidth="1"/>
    <col min="3343" max="3343" width="14.83203125" style="56" customWidth="1"/>
    <col min="3344" max="3345" width="11.5" style="56" customWidth="1"/>
    <col min="3346" max="3346" width="6.1640625" style="56" customWidth="1"/>
    <col min="3347" max="3347" width="22.83203125" style="56" customWidth="1"/>
    <col min="3348" max="3348" width="11.5" style="56" customWidth="1"/>
    <col min="3349" max="3349" width="13.83203125" style="56" customWidth="1"/>
    <col min="3350" max="3350" width="5.83203125" style="56" customWidth="1"/>
    <col min="3351" max="3351" width="15.5" style="56" customWidth="1"/>
    <col min="3352" max="3592" width="11.5" style="56"/>
    <col min="3593" max="3593" width="0.5" style="56" customWidth="1"/>
    <col min="3594" max="3594" width="3.1640625" style="56" customWidth="1"/>
    <col min="3595" max="3595" width="8.83203125" style="56" customWidth="1"/>
    <col min="3596" max="3596" width="14.83203125" style="56" customWidth="1"/>
    <col min="3597" max="3598" width="6.5" style="56" customWidth="1"/>
    <col min="3599" max="3599" width="14.83203125" style="56" customWidth="1"/>
    <col min="3600" max="3601" width="11.5" style="56" customWidth="1"/>
    <col min="3602" max="3602" width="6.1640625" style="56" customWidth="1"/>
    <col min="3603" max="3603" width="22.83203125" style="56" customWidth="1"/>
    <col min="3604" max="3604" width="11.5" style="56" customWidth="1"/>
    <col min="3605" max="3605" width="13.83203125" style="56" customWidth="1"/>
    <col min="3606" max="3606" width="5.83203125" style="56" customWidth="1"/>
    <col min="3607" max="3607" width="15.5" style="56" customWidth="1"/>
    <col min="3608" max="3848" width="11.5" style="56"/>
    <col min="3849" max="3849" width="0.5" style="56" customWidth="1"/>
    <col min="3850" max="3850" width="3.1640625" style="56" customWidth="1"/>
    <col min="3851" max="3851" width="8.83203125" style="56" customWidth="1"/>
    <col min="3852" max="3852" width="14.83203125" style="56" customWidth="1"/>
    <col min="3853" max="3854" width="6.5" style="56" customWidth="1"/>
    <col min="3855" max="3855" width="14.83203125" style="56" customWidth="1"/>
    <col min="3856" max="3857" width="11.5" style="56" customWidth="1"/>
    <col min="3858" max="3858" width="6.1640625" style="56" customWidth="1"/>
    <col min="3859" max="3859" width="22.83203125" style="56" customWidth="1"/>
    <col min="3860" max="3860" width="11.5" style="56" customWidth="1"/>
    <col min="3861" max="3861" width="13.83203125" style="56" customWidth="1"/>
    <col min="3862" max="3862" width="5.83203125" style="56" customWidth="1"/>
    <col min="3863" max="3863" width="15.5" style="56" customWidth="1"/>
    <col min="3864" max="4104" width="11.5" style="56"/>
    <col min="4105" max="4105" width="0.5" style="56" customWidth="1"/>
    <col min="4106" max="4106" width="3.1640625" style="56" customWidth="1"/>
    <col min="4107" max="4107" width="8.83203125" style="56" customWidth="1"/>
    <col min="4108" max="4108" width="14.83203125" style="56" customWidth="1"/>
    <col min="4109" max="4110" width="6.5" style="56" customWidth="1"/>
    <col min="4111" max="4111" width="14.83203125" style="56" customWidth="1"/>
    <col min="4112" max="4113" width="11.5" style="56" customWidth="1"/>
    <col min="4114" max="4114" width="6.1640625" style="56" customWidth="1"/>
    <col min="4115" max="4115" width="22.83203125" style="56" customWidth="1"/>
    <col min="4116" max="4116" width="11.5" style="56" customWidth="1"/>
    <col min="4117" max="4117" width="13.83203125" style="56" customWidth="1"/>
    <col min="4118" max="4118" width="5.83203125" style="56" customWidth="1"/>
    <col min="4119" max="4119" width="15.5" style="56" customWidth="1"/>
    <col min="4120" max="4360" width="11.5" style="56"/>
    <col min="4361" max="4361" width="0.5" style="56" customWidth="1"/>
    <col min="4362" max="4362" width="3.1640625" style="56" customWidth="1"/>
    <col min="4363" max="4363" width="8.83203125" style="56" customWidth="1"/>
    <col min="4364" max="4364" width="14.83203125" style="56" customWidth="1"/>
    <col min="4365" max="4366" width="6.5" style="56" customWidth="1"/>
    <col min="4367" max="4367" width="14.83203125" style="56" customWidth="1"/>
    <col min="4368" max="4369" width="11.5" style="56" customWidth="1"/>
    <col min="4370" max="4370" width="6.1640625" style="56" customWidth="1"/>
    <col min="4371" max="4371" width="22.83203125" style="56" customWidth="1"/>
    <col min="4372" max="4372" width="11.5" style="56" customWidth="1"/>
    <col min="4373" max="4373" width="13.83203125" style="56" customWidth="1"/>
    <col min="4374" max="4374" width="5.83203125" style="56" customWidth="1"/>
    <col min="4375" max="4375" width="15.5" style="56" customWidth="1"/>
    <col min="4376" max="4616" width="11.5" style="56"/>
    <col min="4617" max="4617" width="0.5" style="56" customWidth="1"/>
    <col min="4618" max="4618" width="3.1640625" style="56" customWidth="1"/>
    <col min="4619" max="4619" width="8.83203125" style="56" customWidth="1"/>
    <col min="4620" max="4620" width="14.83203125" style="56" customWidth="1"/>
    <col min="4621" max="4622" width="6.5" style="56" customWidth="1"/>
    <col min="4623" max="4623" width="14.83203125" style="56" customWidth="1"/>
    <col min="4624" max="4625" width="11.5" style="56" customWidth="1"/>
    <col min="4626" max="4626" width="6.1640625" style="56" customWidth="1"/>
    <col min="4627" max="4627" width="22.83203125" style="56" customWidth="1"/>
    <col min="4628" max="4628" width="11.5" style="56" customWidth="1"/>
    <col min="4629" max="4629" width="13.83203125" style="56" customWidth="1"/>
    <col min="4630" max="4630" width="5.83203125" style="56" customWidth="1"/>
    <col min="4631" max="4631" width="15.5" style="56" customWidth="1"/>
    <col min="4632" max="4872" width="11.5" style="56"/>
    <col min="4873" max="4873" width="0.5" style="56" customWidth="1"/>
    <col min="4874" max="4874" width="3.1640625" style="56" customWidth="1"/>
    <col min="4875" max="4875" width="8.83203125" style="56" customWidth="1"/>
    <col min="4876" max="4876" width="14.83203125" style="56" customWidth="1"/>
    <col min="4877" max="4878" width="6.5" style="56" customWidth="1"/>
    <col min="4879" max="4879" width="14.83203125" style="56" customWidth="1"/>
    <col min="4880" max="4881" width="11.5" style="56" customWidth="1"/>
    <col min="4882" max="4882" width="6.1640625" style="56" customWidth="1"/>
    <col min="4883" max="4883" width="22.83203125" style="56" customWidth="1"/>
    <col min="4884" max="4884" width="11.5" style="56" customWidth="1"/>
    <col min="4885" max="4885" width="13.83203125" style="56" customWidth="1"/>
    <col min="4886" max="4886" width="5.83203125" style="56" customWidth="1"/>
    <col min="4887" max="4887" width="15.5" style="56" customWidth="1"/>
    <col min="4888" max="5128" width="11.5" style="56"/>
    <col min="5129" max="5129" width="0.5" style="56" customWidth="1"/>
    <col min="5130" max="5130" width="3.1640625" style="56" customWidth="1"/>
    <col min="5131" max="5131" width="8.83203125" style="56" customWidth="1"/>
    <col min="5132" max="5132" width="14.83203125" style="56" customWidth="1"/>
    <col min="5133" max="5134" width="6.5" style="56" customWidth="1"/>
    <col min="5135" max="5135" width="14.83203125" style="56" customWidth="1"/>
    <col min="5136" max="5137" width="11.5" style="56" customWidth="1"/>
    <col min="5138" max="5138" width="6.1640625" style="56" customWidth="1"/>
    <col min="5139" max="5139" width="22.83203125" style="56" customWidth="1"/>
    <col min="5140" max="5140" width="11.5" style="56" customWidth="1"/>
    <col min="5141" max="5141" width="13.83203125" style="56" customWidth="1"/>
    <col min="5142" max="5142" width="5.83203125" style="56" customWidth="1"/>
    <col min="5143" max="5143" width="15.5" style="56" customWidth="1"/>
    <col min="5144" max="5384" width="11.5" style="56"/>
    <col min="5385" max="5385" width="0.5" style="56" customWidth="1"/>
    <col min="5386" max="5386" width="3.1640625" style="56" customWidth="1"/>
    <col min="5387" max="5387" width="8.83203125" style="56" customWidth="1"/>
    <col min="5388" max="5388" width="14.83203125" style="56" customWidth="1"/>
    <col min="5389" max="5390" width="6.5" style="56" customWidth="1"/>
    <col min="5391" max="5391" width="14.83203125" style="56" customWidth="1"/>
    <col min="5392" max="5393" width="11.5" style="56" customWidth="1"/>
    <col min="5394" max="5394" width="6.1640625" style="56" customWidth="1"/>
    <col min="5395" max="5395" width="22.83203125" style="56" customWidth="1"/>
    <col min="5396" max="5396" width="11.5" style="56" customWidth="1"/>
    <col min="5397" max="5397" width="13.83203125" style="56" customWidth="1"/>
    <col min="5398" max="5398" width="5.83203125" style="56" customWidth="1"/>
    <col min="5399" max="5399" width="15.5" style="56" customWidth="1"/>
    <col min="5400" max="5640" width="11.5" style="56"/>
    <col min="5641" max="5641" width="0.5" style="56" customWidth="1"/>
    <col min="5642" max="5642" width="3.1640625" style="56" customWidth="1"/>
    <col min="5643" max="5643" width="8.83203125" style="56" customWidth="1"/>
    <col min="5644" max="5644" width="14.83203125" style="56" customWidth="1"/>
    <col min="5645" max="5646" width="6.5" style="56" customWidth="1"/>
    <col min="5647" max="5647" width="14.83203125" style="56" customWidth="1"/>
    <col min="5648" max="5649" width="11.5" style="56" customWidth="1"/>
    <col min="5650" max="5650" width="6.1640625" style="56" customWidth="1"/>
    <col min="5651" max="5651" width="22.83203125" style="56" customWidth="1"/>
    <col min="5652" max="5652" width="11.5" style="56" customWidth="1"/>
    <col min="5653" max="5653" width="13.83203125" style="56" customWidth="1"/>
    <col min="5654" max="5654" width="5.83203125" style="56" customWidth="1"/>
    <col min="5655" max="5655" width="15.5" style="56" customWidth="1"/>
    <col min="5656" max="5896" width="11.5" style="56"/>
    <col min="5897" max="5897" width="0.5" style="56" customWidth="1"/>
    <col min="5898" max="5898" width="3.1640625" style="56" customWidth="1"/>
    <col min="5899" max="5899" width="8.83203125" style="56" customWidth="1"/>
    <col min="5900" max="5900" width="14.83203125" style="56" customWidth="1"/>
    <col min="5901" max="5902" width="6.5" style="56" customWidth="1"/>
    <col min="5903" max="5903" width="14.83203125" style="56" customWidth="1"/>
    <col min="5904" max="5905" width="11.5" style="56" customWidth="1"/>
    <col min="5906" max="5906" width="6.1640625" style="56" customWidth="1"/>
    <col min="5907" max="5907" width="22.83203125" style="56" customWidth="1"/>
    <col min="5908" max="5908" width="11.5" style="56" customWidth="1"/>
    <col min="5909" max="5909" width="13.83203125" style="56" customWidth="1"/>
    <col min="5910" max="5910" width="5.83203125" style="56" customWidth="1"/>
    <col min="5911" max="5911" width="15.5" style="56" customWidth="1"/>
    <col min="5912" max="6152" width="11.5" style="56"/>
    <col min="6153" max="6153" width="0.5" style="56" customWidth="1"/>
    <col min="6154" max="6154" width="3.1640625" style="56" customWidth="1"/>
    <col min="6155" max="6155" width="8.83203125" style="56" customWidth="1"/>
    <col min="6156" max="6156" width="14.83203125" style="56" customWidth="1"/>
    <col min="6157" max="6158" width="6.5" style="56" customWidth="1"/>
    <col min="6159" max="6159" width="14.83203125" style="56" customWidth="1"/>
    <col min="6160" max="6161" width="11.5" style="56" customWidth="1"/>
    <col min="6162" max="6162" width="6.1640625" style="56" customWidth="1"/>
    <col min="6163" max="6163" width="22.83203125" style="56" customWidth="1"/>
    <col min="6164" max="6164" width="11.5" style="56" customWidth="1"/>
    <col min="6165" max="6165" width="13.83203125" style="56" customWidth="1"/>
    <col min="6166" max="6166" width="5.83203125" style="56" customWidth="1"/>
    <col min="6167" max="6167" width="15.5" style="56" customWidth="1"/>
    <col min="6168" max="6408" width="11.5" style="56"/>
    <col min="6409" max="6409" width="0.5" style="56" customWidth="1"/>
    <col min="6410" max="6410" width="3.1640625" style="56" customWidth="1"/>
    <col min="6411" max="6411" width="8.83203125" style="56" customWidth="1"/>
    <col min="6412" max="6412" width="14.83203125" style="56" customWidth="1"/>
    <col min="6413" max="6414" width="6.5" style="56" customWidth="1"/>
    <col min="6415" max="6415" width="14.83203125" style="56" customWidth="1"/>
    <col min="6416" max="6417" width="11.5" style="56" customWidth="1"/>
    <col min="6418" max="6418" width="6.1640625" style="56" customWidth="1"/>
    <col min="6419" max="6419" width="22.83203125" style="56" customWidth="1"/>
    <col min="6420" max="6420" width="11.5" style="56" customWidth="1"/>
    <col min="6421" max="6421" width="13.83203125" style="56" customWidth="1"/>
    <col min="6422" max="6422" width="5.83203125" style="56" customWidth="1"/>
    <col min="6423" max="6423" width="15.5" style="56" customWidth="1"/>
    <col min="6424" max="6664" width="11.5" style="56"/>
    <col min="6665" max="6665" width="0.5" style="56" customWidth="1"/>
    <col min="6666" max="6666" width="3.1640625" style="56" customWidth="1"/>
    <col min="6667" max="6667" width="8.83203125" style="56" customWidth="1"/>
    <col min="6668" max="6668" width="14.83203125" style="56" customWidth="1"/>
    <col min="6669" max="6670" width="6.5" style="56" customWidth="1"/>
    <col min="6671" max="6671" width="14.83203125" style="56" customWidth="1"/>
    <col min="6672" max="6673" width="11.5" style="56" customWidth="1"/>
    <col min="6674" max="6674" width="6.1640625" style="56" customWidth="1"/>
    <col min="6675" max="6675" width="22.83203125" style="56" customWidth="1"/>
    <col min="6676" max="6676" width="11.5" style="56" customWidth="1"/>
    <col min="6677" max="6677" width="13.83203125" style="56" customWidth="1"/>
    <col min="6678" max="6678" width="5.83203125" style="56" customWidth="1"/>
    <col min="6679" max="6679" width="15.5" style="56" customWidth="1"/>
    <col min="6680" max="6920" width="11.5" style="56"/>
    <col min="6921" max="6921" width="0.5" style="56" customWidth="1"/>
    <col min="6922" max="6922" width="3.1640625" style="56" customWidth="1"/>
    <col min="6923" max="6923" width="8.83203125" style="56" customWidth="1"/>
    <col min="6924" max="6924" width="14.83203125" style="56" customWidth="1"/>
    <col min="6925" max="6926" width="6.5" style="56" customWidth="1"/>
    <col min="6927" max="6927" width="14.83203125" style="56" customWidth="1"/>
    <col min="6928" max="6929" width="11.5" style="56" customWidth="1"/>
    <col min="6930" max="6930" width="6.1640625" style="56" customWidth="1"/>
    <col min="6931" max="6931" width="22.83203125" style="56" customWidth="1"/>
    <col min="6932" max="6932" width="11.5" style="56" customWidth="1"/>
    <col min="6933" max="6933" width="13.83203125" style="56" customWidth="1"/>
    <col min="6934" max="6934" width="5.83203125" style="56" customWidth="1"/>
    <col min="6935" max="6935" width="15.5" style="56" customWidth="1"/>
    <col min="6936" max="7176" width="11.5" style="56"/>
    <col min="7177" max="7177" width="0.5" style="56" customWidth="1"/>
    <col min="7178" max="7178" width="3.1640625" style="56" customWidth="1"/>
    <col min="7179" max="7179" width="8.83203125" style="56" customWidth="1"/>
    <col min="7180" max="7180" width="14.83203125" style="56" customWidth="1"/>
    <col min="7181" max="7182" width="6.5" style="56" customWidth="1"/>
    <col min="7183" max="7183" width="14.83203125" style="56" customWidth="1"/>
    <col min="7184" max="7185" width="11.5" style="56" customWidth="1"/>
    <col min="7186" max="7186" width="6.1640625" style="56" customWidth="1"/>
    <col min="7187" max="7187" width="22.83203125" style="56" customWidth="1"/>
    <col min="7188" max="7188" width="11.5" style="56" customWidth="1"/>
    <col min="7189" max="7189" width="13.83203125" style="56" customWidth="1"/>
    <col min="7190" max="7190" width="5.83203125" style="56" customWidth="1"/>
    <col min="7191" max="7191" width="15.5" style="56" customWidth="1"/>
    <col min="7192" max="7432" width="11.5" style="56"/>
    <col min="7433" max="7433" width="0.5" style="56" customWidth="1"/>
    <col min="7434" max="7434" width="3.1640625" style="56" customWidth="1"/>
    <col min="7435" max="7435" width="8.83203125" style="56" customWidth="1"/>
    <col min="7436" max="7436" width="14.83203125" style="56" customWidth="1"/>
    <col min="7437" max="7438" width="6.5" style="56" customWidth="1"/>
    <col min="7439" max="7439" width="14.83203125" style="56" customWidth="1"/>
    <col min="7440" max="7441" width="11.5" style="56" customWidth="1"/>
    <col min="7442" max="7442" width="6.1640625" style="56" customWidth="1"/>
    <col min="7443" max="7443" width="22.83203125" style="56" customWidth="1"/>
    <col min="7444" max="7444" width="11.5" style="56" customWidth="1"/>
    <col min="7445" max="7445" width="13.83203125" style="56" customWidth="1"/>
    <col min="7446" max="7446" width="5.83203125" style="56" customWidth="1"/>
    <col min="7447" max="7447" width="15.5" style="56" customWidth="1"/>
    <col min="7448" max="7688" width="11.5" style="56"/>
    <col min="7689" max="7689" width="0.5" style="56" customWidth="1"/>
    <col min="7690" max="7690" width="3.1640625" style="56" customWidth="1"/>
    <col min="7691" max="7691" width="8.83203125" style="56" customWidth="1"/>
    <col min="7692" max="7692" width="14.83203125" style="56" customWidth="1"/>
    <col min="7693" max="7694" width="6.5" style="56" customWidth="1"/>
    <col min="7695" max="7695" width="14.83203125" style="56" customWidth="1"/>
    <col min="7696" max="7697" width="11.5" style="56" customWidth="1"/>
    <col min="7698" max="7698" width="6.1640625" style="56" customWidth="1"/>
    <col min="7699" max="7699" width="22.83203125" style="56" customWidth="1"/>
    <col min="7700" max="7700" width="11.5" style="56" customWidth="1"/>
    <col min="7701" max="7701" width="13.83203125" style="56" customWidth="1"/>
    <col min="7702" max="7702" width="5.83203125" style="56" customWidth="1"/>
    <col min="7703" max="7703" width="15.5" style="56" customWidth="1"/>
    <col min="7704" max="7944" width="11.5" style="56"/>
    <col min="7945" max="7945" width="0.5" style="56" customWidth="1"/>
    <col min="7946" max="7946" width="3.1640625" style="56" customWidth="1"/>
    <col min="7947" max="7947" width="8.83203125" style="56" customWidth="1"/>
    <col min="7948" max="7948" width="14.83203125" style="56" customWidth="1"/>
    <col min="7949" max="7950" width="6.5" style="56" customWidth="1"/>
    <col min="7951" max="7951" width="14.83203125" style="56" customWidth="1"/>
    <col min="7952" max="7953" width="11.5" style="56" customWidth="1"/>
    <col min="7954" max="7954" width="6.1640625" style="56" customWidth="1"/>
    <col min="7955" max="7955" width="22.83203125" style="56" customWidth="1"/>
    <col min="7956" max="7956" width="11.5" style="56" customWidth="1"/>
    <col min="7957" max="7957" width="13.83203125" style="56" customWidth="1"/>
    <col min="7958" max="7958" width="5.83203125" style="56" customWidth="1"/>
    <col min="7959" max="7959" width="15.5" style="56" customWidth="1"/>
    <col min="7960" max="8200" width="11.5" style="56"/>
    <col min="8201" max="8201" width="0.5" style="56" customWidth="1"/>
    <col min="8202" max="8202" width="3.1640625" style="56" customWidth="1"/>
    <col min="8203" max="8203" width="8.83203125" style="56" customWidth="1"/>
    <col min="8204" max="8204" width="14.83203125" style="56" customWidth="1"/>
    <col min="8205" max="8206" width="6.5" style="56" customWidth="1"/>
    <col min="8207" max="8207" width="14.83203125" style="56" customWidth="1"/>
    <col min="8208" max="8209" width="11.5" style="56" customWidth="1"/>
    <col min="8210" max="8210" width="6.1640625" style="56" customWidth="1"/>
    <col min="8211" max="8211" width="22.83203125" style="56" customWidth="1"/>
    <col min="8212" max="8212" width="11.5" style="56" customWidth="1"/>
    <col min="8213" max="8213" width="13.83203125" style="56" customWidth="1"/>
    <col min="8214" max="8214" width="5.83203125" style="56" customWidth="1"/>
    <col min="8215" max="8215" width="15.5" style="56" customWidth="1"/>
    <col min="8216" max="8456" width="11.5" style="56"/>
    <col min="8457" max="8457" width="0.5" style="56" customWidth="1"/>
    <col min="8458" max="8458" width="3.1640625" style="56" customWidth="1"/>
    <col min="8459" max="8459" width="8.83203125" style="56" customWidth="1"/>
    <col min="8460" max="8460" width="14.83203125" style="56" customWidth="1"/>
    <col min="8461" max="8462" width="6.5" style="56" customWidth="1"/>
    <col min="8463" max="8463" width="14.83203125" style="56" customWidth="1"/>
    <col min="8464" max="8465" width="11.5" style="56" customWidth="1"/>
    <col min="8466" max="8466" width="6.1640625" style="56" customWidth="1"/>
    <col min="8467" max="8467" width="22.83203125" style="56" customWidth="1"/>
    <col min="8468" max="8468" width="11.5" style="56" customWidth="1"/>
    <col min="8469" max="8469" width="13.83203125" style="56" customWidth="1"/>
    <col min="8470" max="8470" width="5.83203125" style="56" customWidth="1"/>
    <col min="8471" max="8471" width="15.5" style="56" customWidth="1"/>
    <col min="8472" max="8712" width="11.5" style="56"/>
    <col min="8713" max="8713" width="0.5" style="56" customWidth="1"/>
    <col min="8714" max="8714" width="3.1640625" style="56" customWidth="1"/>
    <col min="8715" max="8715" width="8.83203125" style="56" customWidth="1"/>
    <col min="8716" max="8716" width="14.83203125" style="56" customWidth="1"/>
    <col min="8717" max="8718" width="6.5" style="56" customWidth="1"/>
    <col min="8719" max="8719" width="14.83203125" style="56" customWidth="1"/>
    <col min="8720" max="8721" width="11.5" style="56" customWidth="1"/>
    <col min="8722" max="8722" width="6.1640625" style="56" customWidth="1"/>
    <col min="8723" max="8723" width="22.83203125" style="56" customWidth="1"/>
    <col min="8724" max="8724" width="11.5" style="56" customWidth="1"/>
    <col min="8725" max="8725" width="13.83203125" style="56" customWidth="1"/>
    <col min="8726" max="8726" width="5.83203125" style="56" customWidth="1"/>
    <col min="8727" max="8727" width="15.5" style="56" customWidth="1"/>
    <col min="8728" max="8968" width="11.5" style="56"/>
    <col min="8969" max="8969" width="0.5" style="56" customWidth="1"/>
    <col min="8970" max="8970" width="3.1640625" style="56" customWidth="1"/>
    <col min="8971" max="8971" width="8.83203125" style="56" customWidth="1"/>
    <col min="8972" max="8972" width="14.83203125" style="56" customWidth="1"/>
    <col min="8973" max="8974" width="6.5" style="56" customWidth="1"/>
    <col min="8975" max="8975" width="14.83203125" style="56" customWidth="1"/>
    <col min="8976" max="8977" width="11.5" style="56" customWidth="1"/>
    <col min="8978" max="8978" width="6.1640625" style="56" customWidth="1"/>
    <col min="8979" max="8979" width="22.83203125" style="56" customWidth="1"/>
    <col min="8980" max="8980" width="11.5" style="56" customWidth="1"/>
    <col min="8981" max="8981" width="13.83203125" style="56" customWidth="1"/>
    <col min="8982" max="8982" width="5.83203125" style="56" customWidth="1"/>
    <col min="8983" max="8983" width="15.5" style="56" customWidth="1"/>
    <col min="8984" max="9224" width="11.5" style="56"/>
    <col min="9225" max="9225" width="0.5" style="56" customWidth="1"/>
    <col min="9226" max="9226" width="3.1640625" style="56" customWidth="1"/>
    <col min="9227" max="9227" width="8.83203125" style="56" customWidth="1"/>
    <col min="9228" max="9228" width="14.83203125" style="56" customWidth="1"/>
    <col min="9229" max="9230" width="6.5" style="56" customWidth="1"/>
    <col min="9231" max="9231" width="14.83203125" style="56" customWidth="1"/>
    <col min="9232" max="9233" width="11.5" style="56" customWidth="1"/>
    <col min="9234" max="9234" width="6.1640625" style="56" customWidth="1"/>
    <col min="9235" max="9235" width="22.83203125" style="56" customWidth="1"/>
    <col min="9236" max="9236" width="11.5" style="56" customWidth="1"/>
    <col min="9237" max="9237" width="13.83203125" style="56" customWidth="1"/>
    <col min="9238" max="9238" width="5.83203125" style="56" customWidth="1"/>
    <col min="9239" max="9239" width="15.5" style="56" customWidth="1"/>
    <col min="9240" max="9480" width="11.5" style="56"/>
    <col min="9481" max="9481" width="0.5" style="56" customWidth="1"/>
    <col min="9482" max="9482" width="3.1640625" style="56" customWidth="1"/>
    <col min="9483" max="9483" width="8.83203125" style="56" customWidth="1"/>
    <col min="9484" max="9484" width="14.83203125" style="56" customWidth="1"/>
    <col min="9485" max="9486" width="6.5" style="56" customWidth="1"/>
    <col min="9487" max="9487" width="14.83203125" style="56" customWidth="1"/>
    <col min="9488" max="9489" width="11.5" style="56" customWidth="1"/>
    <col min="9490" max="9490" width="6.1640625" style="56" customWidth="1"/>
    <col min="9491" max="9491" width="22.83203125" style="56" customWidth="1"/>
    <col min="9492" max="9492" width="11.5" style="56" customWidth="1"/>
    <col min="9493" max="9493" width="13.83203125" style="56" customWidth="1"/>
    <col min="9494" max="9494" width="5.83203125" style="56" customWidth="1"/>
    <col min="9495" max="9495" width="15.5" style="56" customWidth="1"/>
    <col min="9496" max="9736" width="11.5" style="56"/>
    <col min="9737" max="9737" width="0.5" style="56" customWidth="1"/>
    <col min="9738" max="9738" width="3.1640625" style="56" customWidth="1"/>
    <col min="9739" max="9739" width="8.83203125" style="56" customWidth="1"/>
    <col min="9740" max="9740" width="14.83203125" style="56" customWidth="1"/>
    <col min="9741" max="9742" width="6.5" style="56" customWidth="1"/>
    <col min="9743" max="9743" width="14.83203125" style="56" customWidth="1"/>
    <col min="9744" max="9745" width="11.5" style="56" customWidth="1"/>
    <col min="9746" max="9746" width="6.1640625" style="56" customWidth="1"/>
    <col min="9747" max="9747" width="22.83203125" style="56" customWidth="1"/>
    <col min="9748" max="9748" width="11.5" style="56" customWidth="1"/>
    <col min="9749" max="9749" width="13.83203125" style="56" customWidth="1"/>
    <col min="9750" max="9750" width="5.83203125" style="56" customWidth="1"/>
    <col min="9751" max="9751" width="15.5" style="56" customWidth="1"/>
    <col min="9752" max="9992" width="11.5" style="56"/>
    <col min="9993" max="9993" width="0.5" style="56" customWidth="1"/>
    <col min="9994" max="9994" width="3.1640625" style="56" customWidth="1"/>
    <col min="9995" max="9995" width="8.83203125" style="56" customWidth="1"/>
    <col min="9996" max="9996" width="14.83203125" style="56" customWidth="1"/>
    <col min="9997" max="9998" width="6.5" style="56" customWidth="1"/>
    <col min="9999" max="9999" width="14.83203125" style="56" customWidth="1"/>
    <col min="10000" max="10001" width="11.5" style="56" customWidth="1"/>
    <col min="10002" max="10002" width="6.1640625" style="56" customWidth="1"/>
    <col min="10003" max="10003" width="22.83203125" style="56" customWidth="1"/>
    <col min="10004" max="10004" width="11.5" style="56" customWidth="1"/>
    <col min="10005" max="10005" width="13.83203125" style="56" customWidth="1"/>
    <col min="10006" max="10006" width="5.83203125" style="56" customWidth="1"/>
    <col min="10007" max="10007" width="15.5" style="56" customWidth="1"/>
    <col min="10008" max="10248" width="11.5" style="56"/>
    <col min="10249" max="10249" width="0.5" style="56" customWidth="1"/>
    <col min="10250" max="10250" width="3.1640625" style="56" customWidth="1"/>
    <col min="10251" max="10251" width="8.83203125" style="56" customWidth="1"/>
    <col min="10252" max="10252" width="14.83203125" style="56" customWidth="1"/>
    <col min="10253" max="10254" width="6.5" style="56" customWidth="1"/>
    <col min="10255" max="10255" width="14.83203125" style="56" customWidth="1"/>
    <col min="10256" max="10257" width="11.5" style="56" customWidth="1"/>
    <col min="10258" max="10258" width="6.1640625" style="56" customWidth="1"/>
    <col min="10259" max="10259" width="22.83203125" style="56" customWidth="1"/>
    <col min="10260" max="10260" width="11.5" style="56" customWidth="1"/>
    <col min="10261" max="10261" width="13.83203125" style="56" customWidth="1"/>
    <col min="10262" max="10262" width="5.83203125" style="56" customWidth="1"/>
    <col min="10263" max="10263" width="15.5" style="56" customWidth="1"/>
    <col min="10264" max="10504" width="11.5" style="56"/>
    <col min="10505" max="10505" width="0.5" style="56" customWidth="1"/>
    <col min="10506" max="10506" width="3.1640625" style="56" customWidth="1"/>
    <col min="10507" max="10507" width="8.83203125" style="56" customWidth="1"/>
    <col min="10508" max="10508" width="14.83203125" style="56" customWidth="1"/>
    <col min="10509" max="10510" width="6.5" style="56" customWidth="1"/>
    <col min="10511" max="10511" width="14.83203125" style="56" customWidth="1"/>
    <col min="10512" max="10513" width="11.5" style="56" customWidth="1"/>
    <col min="10514" max="10514" width="6.1640625" style="56" customWidth="1"/>
    <col min="10515" max="10515" width="22.83203125" style="56" customWidth="1"/>
    <col min="10516" max="10516" width="11.5" style="56" customWidth="1"/>
    <col min="10517" max="10517" width="13.83203125" style="56" customWidth="1"/>
    <col min="10518" max="10518" width="5.83203125" style="56" customWidth="1"/>
    <col min="10519" max="10519" width="15.5" style="56" customWidth="1"/>
    <col min="10520" max="10760" width="11.5" style="56"/>
    <col min="10761" max="10761" width="0.5" style="56" customWidth="1"/>
    <col min="10762" max="10762" width="3.1640625" style="56" customWidth="1"/>
    <col min="10763" max="10763" width="8.83203125" style="56" customWidth="1"/>
    <col min="10764" max="10764" width="14.83203125" style="56" customWidth="1"/>
    <col min="10765" max="10766" width="6.5" style="56" customWidth="1"/>
    <col min="10767" max="10767" width="14.83203125" style="56" customWidth="1"/>
    <col min="10768" max="10769" width="11.5" style="56" customWidth="1"/>
    <col min="10770" max="10770" width="6.1640625" style="56" customWidth="1"/>
    <col min="10771" max="10771" width="22.83203125" style="56" customWidth="1"/>
    <col min="10772" max="10772" width="11.5" style="56" customWidth="1"/>
    <col min="10773" max="10773" width="13.83203125" style="56" customWidth="1"/>
    <col min="10774" max="10774" width="5.83203125" style="56" customWidth="1"/>
    <col min="10775" max="10775" width="15.5" style="56" customWidth="1"/>
    <col min="10776" max="11016" width="11.5" style="56"/>
    <col min="11017" max="11017" width="0.5" style="56" customWidth="1"/>
    <col min="11018" max="11018" width="3.1640625" style="56" customWidth="1"/>
    <col min="11019" max="11019" width="8.83203125" style="56" customWidth="1"/>
    <col min="11020" max="11020" width="14.83203125" style="56" customWidth="1"/>
    <col min="11021" max="11022" width="6.5" style="56" customWidth="1"/>
    <col min="11023" max="11023" width="14.83203125" style="56" customWidth="1"/>
    <col min="11024" max="11025" width="11.5" style="56" customWidth="1"/>
    <col min="11026" max="11026" width="6.1640625" style="56" customWidth="1"/>
    <col min="11027" max="11027" width="22.83203125" style="56" customWidth="1"/>
    <col min="11028" max="11028" width="11.5" style="56" customWidth="1"/>
    <col min="11029" max="11029" width="13.83203125" style="56" customWidth="1"/>
    <col min="11030" max="11030" width="5.83203125" style="56" customWidth="1"/>
    <col min="11031" max="11031" width="15.5" style="56" customWidth="1"/>
    <col min="11032" max="11272" width="11.5" style="56"/>
    <col min="11273" max="11273" width="0.5" style="56" customWidth="1"/>
    <col min="11274" max="11274" width="3.1640625" style="56" customWidth="1"/>
    <col min="11275" max="11275" width="8.83203125" style="56" customWidth="1"/>
    <col min="11276" max="11276" width="14.83203125" style="56" customWidth="1"/>
    <col min="11277" max="11278" width="6.5" style="56" customWidth="1"/>
    <col min="11279" max="11279" width="14.83203125" style="56" customWidth="1"/>
    <col min="11280" max="11281" width="11.5" style="56" customWidth="1"/>
    <col min="11282" max="11282" width="6.1640625" style="56" customWidth="1"/>
    <col min="11283" max="11283" width="22.83203125" style="56" customWidth="1"/>
    <col min="11284" max="11284" width="11.5" style="56" customWidth="1"/>
    <col min="11285" max="11285" width="13.83203125" style="56" customWidth="1"/>
    <col min="11286" max="11286" width="5.83203125" style="56" customWidth="1"/>
    <col min="11287" max="11287" width="15.5" style="56" customWidth="1"/>
    <col min="11288" max="11528" width="11.5" style="56"/>
    <col min="11529" max="11529" width="0.5" style="56" customWidth="1"/>
    <col min="11530" max="11530" width="3.1640625" style="56" customWidth="1"/>
    <col min="11531" max="11531" width="8.83203125" style="56" customWidth="1"/>
    <col min="11532" max="11532" width="14.83203125" style="56" customWidth="1"/>
    <col min="11533" max="11534" width="6.5" style="56" customWidth="1"/>
    <col min="11535" max="11535" width="14.83203125" style="56" customWidth="1"/>
    <col min="11536" max="11537" width="11.5" style="56" customWidth="1"/>
    <col min="11538" max="11538" width="6.1640625" style="56" customWidth="1"/>
    <col min="11539" max="11539" width="22.83203125" style="56" customWidth="1"/>
    <col min="11540" max="11540" width="11.5" style="56" customWidth="1"/>
    <col min="11541" max="11541" width="13.83203125" style="56" customWidth="1"/>
    <col min="11542" max="11542" width="5.83203125" style="56" customWidth="1"/>
    <col min="11543" max="11543" width="15.5" style="56" customWidth="1"/>
    <col min="11544" max="11784" width="11.5" style="56"/>
    <col min="11785" max="11785" width="0.5" style="56" customWidth="1"/>
    <col min="11786" max="11786" width="3.1640625" style="56" customWidth="1"/>
    <col min="11787" max="11787" width="8.83203125" style="56" customWidth="1"/>
    <col min="11788" max="11788" width="14.83203125" style="56" customWidth="1"/>
    <col min="11789" max="11790" width="6.5" style="56" customWidth="1"/>
    <col min="11791" max="11791" width="14.83203125" style="56" customWidth="1"/>
    <col min="11792" max="11793" width="11.5" style="56" customWidth="1"/>
    <col min="11794" max="11794" width="6.1640625" style="56" customWidth="1"/>
    <col min="11795" max="11795" width="22.83203125" style="56" customWidth="1"/>
    <col min="11796" max="11796" width="11.5" style="56" customWidth="1"/>
    <col min="11797" max="11797" width="13.83203125" style="56" customWidth="1"/>
    <col min="11798" max="11798" width="5.83203125" style="56" customWidth="1"/>
    <col min="11799" max="11799" width="15.5" style="56" customWidth="1"/>
    <col min="11800" max="12040" width="11.5" style="56"/>
    <col min="12041" max="12041" width="0.5" style="56" customWidth="1"/>
    <col min="12042" max="12042" width="3.1640625" style="56" customWidth="1"/>
    <col min="12043" max="12043" width="8.83203125" style="56" customWidth="1"/>
    <col min="12044" max="12044" width="14.83203125" style="56" customWidth="1"/>
    <col min="12045" max="12046" width="6.5" style="56" customWidth="1"/>
    <col min="12047" max="12047" width="14.83203125" style="56" customWidth="1"/>
    <col min="12048" max="12049" width="11.5" style="56" customWidth="1"/>
    <col min="12050" max="12050" width="6.1640625" style="56" customWidth="1"/>
    <col min="12051" max="12051" width="22.83203125" style="56" customWidth="1"/>
    <col min="12052" max="12052" width="11.5" style="56" customWidth="1"/>
    <col min="12053" max="12053" width="13.83203125" style="56" customWidth="1"/>
    <col min="12054" max="12054" width="5.83203125" style="56" customWidth="1"/>
    <col min="12055" max="12055" width="15.5" style="56" customWidth="1"/>
    <col min="12056" max="12296" width="11.5" style="56"/>
    <col min="12297" max="12297" width="0.5" style="56" customWidth="1"/>
    <col min="12298" max="12298" width="3.1640625" style="56" customWidth="1"/>
    <col min="12299" max="12299" width="8.83203125" style="56" customWidth="1"/>
    <col min="12300" max="12300" width="14.83203125" style="56" customWidth="1"/>
    <col min="12301" max="12302" width="6.5" style="56" customWidth="1"/>
    <col min="12303" max="12303" width="14.83203125" style="56" customWidth="1"/>
    <col min="12304" max="12305" width="11.5" style="56" customWidth="1"/>
    <col min="12306" max="12306" width="6.1640625" style="56" customWidth="1"/>
    <col min="12307" max="12307" width="22.83203125" style="56" customWidth="1"/>
    <col min="12308" max="12308" width="11.5" style="56" customWidth="1"/>
    <col min="12309" max="12309" width="13.83203125" style="56" customWidth="1"/>
    <col min="12310" max="12310" width="5.83203125" style="56" customWidth="1"/>
    <col min="12311" max="12311" width="15.5" style="56" customWidth="1"/>
    <col min="12312" max="12552" width="11.5" style="56"/>
    <col min="12553" max="12553" width="0.5" style="56" customWidth="1"/>
    <col min="12554" max="12554" width="3.1640625" style="56" customWidth="1"/>
    <col min="12555" max="12555" width="8.83203125" style="56" customWidth="1"/>
    <col min="12556" max="12556" width="14.83203125" style="56" customWidth="1"/>
    <col min="12557" max="12558" width="6.5" style="56" customWidth="1"/>
    <col min="12559" max="12559" width="14.83203125" style="56" customWidth="1"/>
    <col min="12560" max="12561" width="11.5" style="56" customWidth="1"/>
    <col min="12562" max="12562" width="6.1640625" style="56" customWidth="1"/>
    <col min="12563" max="12563" width="22.83203125" style="56" customWidth="1"/>
    <col min="12564" max="12564" width="11.5" style="56" customWidth="1"/>
    <col min="12565" max="12565" width="13.83203125" style="56" customWidth="1"/>
    <col min="12566" max="12566" width="5.83203125" style="56" customWidth="1"/>
    <col min="12567" max="12567" width="15.5" style="56" customWidth="1"/>
    <col min="12568" max="12808" width="11.5" style="56"/>
    <col min="12809" max="12809" width="0.5" style="56" customWidth="1"/>
    <col min="12810" max="12810" width="3.1640625" style="56" customWidth="1"/>
    <col min="12811" max="12811" width="8.83203125" style="56" customWidth="1"/>
    <col min="12812" max="12812" width="14.83203125" style="56" customWidth="1"/>
    <col min="12813" max="12814" width="6.5" style="56" customWidth="1"/>
    <col min="12815" max="12815" width="14.83203125" style="56" customWidth="1"/>
    <col min="12816" max="12817" width="11.5" style="56" customWidth="1"/>
    <col min="12818" max="12818" width="6.1640625" style="56" customWidth="1"/>
    <col min="12819" max="12819" width="22.83203125" style="56" customWidth="1"/>
    <col min="12820" max="12820" width="11.5" style="56" customWidth="1"/>
    <col min="12821" max="12821" width="13.83203125" style="56" customWidth="1"/>
    <col min="12822" max="12822" width="5.83203125" style="56" customWidth="1"/>
    <col min="12823" max="12823" width="15.5" style="56" customWidth="1"/>
    <col min="12824" max="13064" width="11.5" style="56"/>
    <col min="13065" max="13065" width="0.5" style="56" customWidth="1"/>
    <col min="13066" max="13066" width="3.1640625" style="56" customWidth="1"/>
    <col min="13067" max="13067" width="8.83203125" style="56" customWidth="1"/>
    <col min="13068" max="13068" width="14.83203125" style="56" customWidth="1"/>
    <col min="13069" max="13070" width="6.5" style="56" customWidth="1"/>
    <col min="13071" max="13071" width="14.83203125" style="56" customWidth="1"/>
    <col min="13072" max="13073" width="11.5" style="56" customWidth="1"/>
    <col min="13074" max="13074" width="6.1640625" style="56" customWidth="1"/>
    <col min="13075" max="13075" width="22.83203125" style="56" customWidth="1"/>
    <col min="13076" max="13076" width="11.5" style="56" customWidth="1"/>
    <col min="13077" max="13077" width="13.83203125" style="56" customWidth="1"/>
    <col min="13078" max="13078" width="5.83203125" style="56" customWidth="1"/>
    <col min="13079" max="13079" width="15.5" style="56" customWidth="1"/>
    <col min="13080" max="13320" width="11.5" style="56"/>
    <col min="13321" max="13321" width="0.5" style="56" customWidth="1"/>
    <col min="13322" max="13322" width="3.1640625" style="56" customWidth="1"/>
    <col min="13323" max="13323" width="8.83203125" style="56" customWidth="1"/>
    <col min="13324" max="13324" width="14.83203125" style="56" customWidth="1"/>
    <col min="13325" max="13326" width="6.5" style="56" customWidth="1"/>
    <col min="13327" max="13327" width="14.83203125" style="56" customWidth="1"/>
    <col min="13328" max="13329" width="11.5" style="56" customWidth="1"/>
    <col min="13330" max="13330" width="6.1640625" style="56" customWidth="1"/>
    <col min="13331" max="13331" width="22.83203125" style="56" customWidth="1"/>
    <col min="13332" max="13332" width="11.5" style="56" customWidth="1"/>
    <col min="13333" max="13333" width="13.83203125" style="56" customWidth="1"/>
    <col min="13334" max="13334" width="5.83203125" style="56" customWidth="1"/>
    <col min="13335" max="13335" width="15.5" style="56" customWidth="1"/>
    <col min="13336" max="13576" width="11.5" style="56"/>
    <col min="13577" max="13577" width="0.5" style="56" customWidth="1"/>
    <col min="13578" max="13578" width="3.1640625" style="56" customWidth="1"/>
    <col min="13579" max="13579" width="8.83203125" style="56" customWidth="1"/>
    <col min="13580" max="13580" width="14.83203125" style="56" customWidth="1"/>
    <col min="13581" max="13582" width="6.5" style="56" customWidth="1"/>
    <col min="13583" max="13583" width="14.83203125" style="56" customWidth="1"/>
    <col min="13584" max="13585" width="11.5" style="56" customWidth="1"/>
    <col min="13586" max="13586" width="6.1640625" style="56" customWidth="1"/>
    <col min="13587" max="13587" width="22.83203125" style="56" customWidth="1"/>
    <col min="13588" max="13588" width="11.5" style="56" customWidth="1"/>
    <col min="13589" max="13589" width="13.83203125" style="56" customWidth="1"/>
    <col min="13590" max="13590" width="5.83203125" style="56" customWidth="1"/>
    <col min="13591" max="13591" width="15.5" style="56" customWidth="1"/>
    <col min="13592" max="13832" width="11.5" style="56"/>
    <col min="13833" max="13833" width="0.5" style="56" customWidth="1"/>
    <col min="13834" max="13834" width="3.1640625" style="56" customWidth="1"/>
    <col min="13835" max="13835" width="8.83203125" style="56" customWidth="1"/>
    <col min="13836" max="13836" width="14.83203125" style="56" customWidth="1"/>
    <col min="13837" max="13838" width="6.5" style="56" customWidth="1"/>
    <col min="13839" max="13839" width="14.83203125" style="56" customWidth="1"/>
    <col min="13840" max="13841" width="11.5" style="56" customWidth="1"/>
    <col min="13842" max="13842" width="6.1640625" style="56" customWidth="1"/>
    <col min="13843" max="13843" width="22.83203125" style="56" customWidth="1"/>
    <col min="13844" max="13844" width="11.5" style="56" customWidth="1"/>
    <col min="13845" max="13845" width="13.83203125" style="56" customWidth="1"/>
    <col min="13846" max="13846" width="5.83203125" style="56" customWidth="1"/>
    <col min="13847" max="13847" width="15.5" style="56" customWidth="1"/>
    <col min="13848" max="14088" width="11.5" style="56"/>
    <col min="14089" max="14089" width="0.5" style="56" customWidth="1"/>
    <col min="14090" max="14090" width="3.1640625" style="56" customWidth="1"/>
    <col min="14091" max="14091" width="8.83203125" style="56" customWidth="1"/>
    <col min="14092" max="14092" width="14.83203125" style="56" customWidth="1"/>
    <col min="14093" max="14094" width="6.5" style="56" customWidth="1"/>
    <col min="14095" max="14095" width="14.83203125" style="56" customWidth="1"/>
    <col min="14096" max="14097" width="11.5" style="56" customWidth="1"/>
    <col min="14098" max="14098" width="6.1640625" style="56" customWidth="1"/>
    <col min="14099" max="14099" width="22.83203125" style="56" customWidth="1"/>
    <col min="14100" max="14100" width="11.5" style="56" customWidth="1"/>
    <col min="14101" max="14101" width="13.83203125" style="56" customWidth="1"/>
    <col min="14102" max="14102" width="5.83203125" style="56" customWidth="1"/>
    <col min="14103" max="14103" width="15.5" style="56" customWidth="1"/>
    <col min="14104" max="14344" width="11.5" style="56"/>
    <col min="14345" max="14345" width="0.5" style="56" customWidth="1"/>
    <col min="14346" max="14346" width="3.1640625" style="56" customWidth="1"/>
    <col min="14347" max="14347" width="8.83203125" style="56" customWidth="1"/>
    <col min="14348" max="14348" width="14.83203125" style="56" customWidth="1"/>
    <col min="14349" max="14350" width="6.5" style="56" customWidth="1"/>
    <col min="14351" max="14351" width="14.83203125" style="56" customWidth="1"/>
    <col min="14352" max="14353" width="11.5" style="56" customWidth="1"/>
    <col min="14354" max="14354" width="6.1640625" style="56" customWidth="1"/>
    <col min="14355" max="14355" width="22.83203125" style="56" customWidth="1"/>
    <col min="14356" max="14356" width="11.5" style="56" customWidth="1"/>
    <col min="14357" max="14357" width="13.83203125" style="56" customWidth="1"/>
    <col min="14358" max="14358" width="5.83203125" style="56" customWidth="1"/>
    <col min="14359" max="14359" width="15.5" style="56" customWidth="1"/>
    <col min="14360" max="14600" width="11.5" style="56"/>
    <col min="14601" max="14601" width="0.5" style="56" customWidth="1"/>
    <col min="14602" max="14602" width="3.1640625" style="56" customWidth="1"/>
    <col min="14603" max="14603" width="8.83203125" style="56" customWidth="1"/>
    <col min="14604" max="14604" width="14.83203125" style="56" customWidth="1"/>
    <col min="14605" max="14606" width="6.5" style="56" customWidth="1"/>
    <col min="14607" max="14607" width="14.83203125" style="56" customWidth="1"/>
    <col min="14608" max="14609" width="11.5" style="56" customWidth="1"/>
    <col min="14610" max="14610" width="6.1640625" style="56" customWidth="1"/>
    <col min="14611" max="14611" width="22.83203125" style="56" customWidth="1"/>
    <col min="14612" max="14612" width="11.5" style="56" customWidth="1"/>
    <col min="14613" max="14613" width="13.83203125" style="56" customWidth="1"/>
    <col min="14614" max="14614" width="5.83203125" style="56" customWidth="1"/>
    <col min="14615" max="14615" width="15.5" style="56" customWidth="1"/>
    <col min="14616" max="14856" width="11.5" style="56"/>
    <col min="14857" max="14857" width="0.5" style="56" customWidth="1"/>
    <col min="14858" max="14858" width="3.1640625" style="56" customWidth="1"/>
    <col min="14859" max="14859" width="8.83203125" style="56" customWidth="1"/>
    <col min="14860" max="14860" width="14.83203125" style="56" customWidth="1"/>
    <col min="14861" max="14862" width="6.5" style="56" customWidth="1"/>
    <col min="14863" max="14863" width="14.83203125" style="56" customWidth="1"/>
    <col min="14864" max="14865" width="11.5" style="56" customWidth="1"/>
    <col min="14866" max="14866" width="6.1640625" style="56" customWidth="1"/>
    <col min="14867" max="14867" width="22.83203125" style="56" customWidth="1"/>
    <col min="14868" max="14868" width="11.5" style="56" customWidth="1"/>
    <col min="14869" max="14869" width="13.83203125" style="56" customWidth="1"/>
    <col min="14870" max="14870" width="5.83203125" style="56" customWidth="1"/>
    <col min="14871" max="14871" width="15.5" style="56" customWidth="1"/>
    <col min="14872" max="15112" width="11.5" style="56"/>
    <col min="15113" max="15113" width="0.5" style="56" customWidth="1"/>
    <col min="15114" max="15114" width="3.1640625" style="56" customWidth="1"/>
    <col min="15115" max="15115" width="8.83203125" style="56" customWidth="1"/>
    <col min="15116" max="15116" width="14.83203125" style="56" customWidth="1"/>
    <col min="15117" max="15118" width="6.5" style="56" customWidth="1"/>
    <col min="15119" max="15119" width="14.83203125" style="56" customWidth="1"/>
    <col min="15120" max="15121" width="11.5" style="56" customWidth="1"/>
    <col min="15122" max="15122" width="6.1640625" style="56" customWidth="1"/>
    <col min="15123" max="15123" width="22.83203125" style="56" customWidth="1"/>
    <col min="15124" max="15124" width="11.5" style="56" customWidth="1"/>
    <col min="15125" max="15125" width="13.83203125" style="56" customWidth="1"/>
    <col min="15126" max="15126" width="5.83203125" style="56" customWidth="1"/>
    <col min="15127" max="15127" width="15.5" style="56" customWidth="1"/>
    <col min="15128" max="15368" width="11.5" style="56"/>
    <col min="15369" max="15369" width="0.5" style="56" customWidth="1"/>
    <col min="15370" max="15370" width="3.1640625" style="56" customWidth="1"/>
    <col min="15371" max="15371" width="8.83203125" style="56" customWidth="1"/>
    <col min="15372" max="15372" width="14.83203125" style="56" customWidth="1"/>
    <col min="15373" max="15374" width="6.5" style="56" customWidth="1"/>
    <col min="15375" max="15375" width="14.83203125" style="56" customWidth="1"/>
    <col min="15376" max="15377" width="11.5" style="56" customWidth="1"/>
    <col min="15378" max="15378" width="6.1640625" style="56" customWidth="1"/>
    <col min="15379" max="15379" width="22.83203125" style="56" customWidth="1"/>
    <col min="15380" max="15380" width="11.5" style="56" customWidth="1"/>
    <col min="15381" max="15381" width="13.83203125" style="56" customWidth="1"/>
    <col min="15382" max="15382" width="5.83203125" style="56" customWidth="1"/>
    <col min="15383" max="15383" width="15.5" style="56" customWidth="1"/>
    <col min="15384" max="15624" width="11.5" style="56"/>
    <col min="15625" max="15625" width="0.5" style="56" customWidth="1"/>
    <col min="15626" max="15626" width="3.1640625" style="56" customWidth="1"/>
    <col min="15627" max="15627" width="8.83203125" style="56" customWidth="1"/>
    <col min="15628" max="15628" width="14.83203125" style="56" customWidth="1"/>
    <col min="15629" max="15630" width="6.5" style="56" customWidth="1"/>
    <col min="15631" max="15631" width="14.83203125" style="56" customWidth="1"/>
    <col min="15632" max="15633" width="11.5" style="56" customWidth="1"/>
    <col min="15634" max="15634" width="6.1640625" style="56" customWidth="1"/>
    <col min="15635" max="15635" width="22.83203125" style="56" customWidth="1"/>
    <col min="15636" max="15636" width="11.5" style="56" customWidth="1"/>
    <col min="15637" max="15637" width="13.83203125" style="56" customWidth="1"/>
    <col min="15638" max="15638" width="5.83203125" style="56" customWidth="1"/>
    <col min="15639" max="15639" width="15.5" style="56" customWidth="1"/>
    <col min="15640" max="15880" width="11.5" style="56"/>
    <col min="15881" max="15881" width="0.5" style="56" customWidth="1"/>
    <col min="15882" max="15882" width="3.1640625" style="56" customWidth="1"/>
    <col min="15883" max="15883" width="8.83203125" style="56" customWidth="1"/>
    <col min="15884" max="15884" width="14.83203125" style="56" customWidth="1"/>
    <col min="15885" max="15886" width="6.5" style="56" customWidth="1"/>
    <col min="15887" max="15887" width="14.83203125" style="56" customWidth="1"/>
    <col min="15888" max="15889" width="11.5" style="56" customWidth="1"/>
    <col min="15890" max="15890" width="6.1640625" style="56" customWidth="1"/>
    <col min="15891" max="15891" width="22.83203125" style="56" customWidth="1"/>
    <col min="15892" max="15892" width="11.5" style="56" customWidth="1"/>
    <col min="15893" max="15893" width="13.83203125" style="56" customWidth="1"/>
    <col min="15894" max="15894" width="5.83203125" style="56" customWidth="1"/>
    <col min="15895" max="15895" width="15.5" style="56" customWidth="1"/>
    <col min="15896" max="16136" width="11.5" style="56"/>
    <col min="16137" max="16137" width="0.5" style="56" customWidth="1"/>
    <col min="16138" max="16138" width="3.1640625" style="56" customWidth="1"/>
    <col min="16139" max="16139" width="8.83203125" style="56" customWidth="1"/>
    <col min="16140" max="16140" width="14.83203125" style="56" customWidth="1"/>
    <col min="16141" max="16142" width="6.5" style="56" customWidth="1"/>
    <col min="16143" max="16143" width="14.83203125" style="56" customWidth="1"/>
    <col min="16144" max="16145" width="11.5" style="56" customWidth="1"/>
    <col min="16146" max="16146" width="6.1640625" style="56" customWidth="1"/>
    <col min="16147" max="16147" width="22.83203125" style="56" customWidth="1"/>
    <col min="16148" max="16148" width="11.5" style="56" customWidth="1"/>
    <col min="16149" max="16149" width="13.83203125" style="56" customWidth="1"/>
    <col min="16150" max="16150" width="5.83203125" style="56" customWidth="1"/>
    <col min="16151" max="16151" width="15.5" style="56" customWidth="1"/>
    <col min="16152" max="16384" width="11.5" style="56"/>
  </cols>
  <sheetData>
    <row r="1" spans="1:34" ht="8" customHeight="1">
      <c r="Q1" s="91"/>
      <c r="R1" s="91"/>
    </row>
    <row r="2" spans="1:34" ht="5" customHeight="1" thickBot="1">
      <c r="Q2" s="89"/>
      <c r="R2" s="89"/>
    </row>
    <row r="3" spans="1:34" s="57" customFormat="1" ht="17" customHeight="1">
      <c r="A3" s="472"/>
      <c r="B3" s="576" t="s">
        <v>115</v>
      </c>
      <c r="C3" s="577"/>
      <c r="D3" s="577"/>
      <c r="E3" s="577"/>
      <c r="F3" s="577"/>
      <c r="G3" s="577"/>
      <c r="H3" s="577"/>
      <c r="I3" s="577"/>
      <c r="J3" s="578"/>
      <c r="K3" s="95"/>
      <c r="L3" s="58"/>
      <c r="M3" s="58"/>
      <c r="N3" s="92"/>
      <c r="O3" s="93"/>
      <c r="Q3" s="90"/>
      <c r="R3" s="90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301"/>
    </row>
    <row r="4" spans="1:34" ht="6" customHeight="1" thickBot="1">
      <c r="B4" s="579"/>
      <c r="C4" s="580"/>
      <c r="D4" s="580"/>
      <c r="E4" s="580"/>
      <c r="F4" s="580"/>
      <c r="G4" s="580"/>
      <c r="H4" s="580"/>
      <c r="I4" s="580"/>
      <c r="J4" s="581"/>
      <c r="K4" s="95"/>
      <c r="L4" s="58"/>
      <c r="M4" s="58"/>
      <c r="N4" s="93"/>
      <c r="O4" s="93"/>
      <c r="P4" s="58"/>
      <c r="Q4" s="59"/>
      <c r="R4" s="59"/>
    </row>
    <row r="5" spans="1:34" ht="15" customHeight="1">
      <c r="B5" s="582" t="s">
        <v>283</v>
      </c>
      <c r="C5" s="583"/>
      <c r="D5" s="583"/>
      <c r="E5" s="583"/>
      <c r="F5" s="583" t="s">
        <v>27</v>
      </c>
      <c r="G5" s="583"/>
      <c r="H5" s="583"/>
      <c r="I5" s="583"/>
      <c r="J5" s="589"/>
      <c r="K5" s="584" t="s">
        <v>142</v>
      </c>
      <c r="L5" s="585"/>
      <c r="M5" s="585"/>
      <c r="N5" s="585" t="s">
        <v>365</v>
      </c>
      <c r="O5" s="585"/>
      <c r="P5" s="588"/>
      <c r="Q5" s="345" t="s">
        <v>143</v>
      </c>
      <c r="R5" s="92"/>
    </row>
    <row r="6" spans="1:34" ht="17" customHeight="1" thickBot="1">
      <c r="B6" s="592" t="str">
        <f>IF(Start!$D$4="","Dr. Max Mustermann",Start!$D$4)</f>
        <v>Dr. Max Mustermann</v>
      </c>
      <c r="C6" s="593"/>
      <c r="D6" s="593"/>
      <c r="E6" s="593"/>
      <c r="F6" s="593" t="str">
        <f>Start!$D$8</f>
        <v>Ärztin/Arzt in Ausbildung_BSO1994</v>
      </c>
      <c r="G6" s="593"/>
      <c r="H6" s="593"/>
      <c r="I6" s="593"/>
      <c r="J6" s="594"/>
      <c r="K6" s="590">
        <f>IF(SUM(N14:O44,L13:L44,AA51:AD51,AA52:AB52)=0,Datenblatt!J104,SUM(N14:O44,L13:L44,AA51:AD51,AA52:AB52,AH51:AH52))</f>
        <v>220.8</v>
      </c>
      <c r="L6" s="591"/>
      <c r="M6" s="591"/>
      <c r="N6" s="586">
        <f>COUNTIF(D14:E44,"ND")+COUNTIF(D14:E44,"ND12,5")</f>
        <v>0</v>
      </c>
      <c r="O6" s="586"/>
      <c r="P6" s="587"/>
      <c r="Q6" s="346">
        <f>IF(OR(Start!$D$10="",Start!$E$10=""),"",IF(Start!$D$8=Gehalt!$K$32,VLOOKUP($H$8,Gehalt!$A$4:$I$22,3,FALSE),IF(Start!$D$8=Gehalt!$K$33,VLOOKUP($H$8,Gehalt!$A$4:$I$22,4,FALSE),IF(Start!$D$8=Gehalt!$K$34,VLOOKUP($H$8,Gehalt!$A$4:$I$22,5,FALSE),IF(Start!$D$8=Gehalt!$K$35,VLOOKUP($H$8,Gehalt!$A$4:$I$22,6,FALSE),IF(Start!$D$8=Gehalt!$K$36,VLOOKUP($H$8,Gehalt!$A$4:$I$22,7,FALSE),IF(Start!$D$8=Gehalt!$K$37,VLOOKUP($H$8,Gehalt!$A$4:$I$22,6,FALSE),IF(Start!$D$8=Gehalt!$K$38,VLOOKUP($H$8,Gehalt!$A$4:$I$22,8,FALSE),IF(Start!$D$8=Gehalt!$K$39,VLOOKUP($H$8,Gehalt!$A$4:$I$22,8,FALSE),IF(Start!$D$8=Gehalt!$K$40,VLOOKUP($H$8,Gehalt!$A$4:$I$22,9,FALSE),IF(Start!$D$8=Gehalt!$K$41,VLOOKUP($H$8,Gehalt!$A$4:$I$22,9,FALSE))))))))))))</f>
        <v>5365.31</v>
      </c>
      <c r="R6" s="92"/>
      <c r="S6" s="92"/>
    </row>
    <row r="7" spans="1:34" ht="15" customHeight="1">
      <c r="B7" s="582" t="s">
        <v>26</v>
      </c>
      <c r="C7" s="583"/>
      <c r="D7" s="108" t="s">
        <v>25</v>
      </c>
      <c r="E7" s="583" t="s">
        <v>43</v>
      </c>
      <c r="F7" s="583"/>
      <c r="G7" s="583"/>
      <c r="H7" s="583" t="s">
        <v>91</v>
      </c>
      <c r="I7" s="583"/>
      <c r="J7" s="589"/>
      <c r="K7" s="584" t="s">
        <v>80</v>
      </c>
      <c r="L7" s="585"/>
      <c r="M7" s="585"/>
      <c r="N7" s="585" t="s">
        <v>81</v>
      </c>
      <c r="O7" s="585"/>
      <c r="P7" s="588"/>
      <c r="Q7" s="345" t="s">
        <v>144</v>
      </c>
      <c r="R7" s="191"/>
      <c r="S7" s="101"/>
      <c r="U7" s="242"/>
      <c r="AA7" s="242"/>
    </row>
    <row r="8" spans="1:34" s="59" customFormat="1" ht="17" customHeight="1" thickBot="1">
      <c r="A8" s="471"/>
      <c r="B8" s="595">
        <f>DATE($D$8,5,1)</f>
        <v>45413</v>
      </c>
      <c r="C8" s="596"/>
      <c r="D8" s="349">
        <f>Start!$D$2</f>
        <v>2024</v>
      </c>
      <c r="E8" s="601">
        <f>($K$6)/((VLOOKUP($B$8,Datenblatt!$A$100:$G$112,7,FALSE)*0.2)-(0.2*$D$59))</f>
        <v>48</v>
      </c>
      <c r="F8" s="601"/>
      <c r="G8" s="601"/>
      <c r="H8" s="602">
        <f>IF(OR(Start!$D$10="",Start!$E$10=""),"",IF(($C$14&lt;Start!$D$10),Start!$E$10,VLOOKUP(Start!$E$10,Gehalt!$A$4:$B$22,2,FALSE)))</f>
        <v>4</v>
      </c>
      <c r="I8" s="602"/>
      <c r="J8" s="603"/>
      <c r="K8" s="597">
        <f>SUM(M13:M44)</f>
        <v>0</v>
      </c>
      <c r="L8" s="598"/>
      <c r="M8" s="598"/>
      <c r="N8" s="591">
        <f>VLOOKUP($B$8,Datenblatt!A100:F112,6,FALSE)</f>
        <v>152</v>
      </c>
      <c r="O8" s="591"/>
      <c r="P8" s="599"/>
      <c r="Q8" s="346">
        <f ca="1">IF($L$50="","",SUM($L$50:$L$59))</f>
        <v>5365.31</v>
      </c>
      <c r="R8" s="100"/>
      <c r="S8" s="101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302"/>
    </row>
    <row r="9" spans="1:34" s="60" customFormat="1" ht="4.25" customHeight="1">
      <c r="A9" s="473"/>
      <c r="B9" s="559" t="s">
        <v>116</v>
      </c>
      <c r="C9" s="560"/>
      <c r="D9" s="565" t="s">
        <v>124</v>
      </c>
      <c r="E9" s="565" t="s">
        <v>174</v>
      </c>
      <c r="F9" s="568" t="s">
        <v>79</v>
      </c>
      <c r="G9" s="569"/>
      <c r="H9" s="568" t="s">
        <v>109</v>
      </c>
      <c r="I9" s="569"/>
      <c r="J9" s="565" t="s">
        <v>117</v>
      </c>
      <c r="K9" s="556" t="s">
        <v>82</v>
      </c>
      <c r="L9" s="556" t="s">
        <v>130</v>
      </c>
      <c r="M9" s="556" t="s">
        <v>114</v>
      </c>
      <c r="N9" s="556" t="s">
        <v>79</v>
      </c>
      <c r="O9" s="556" t="s">
        <v>109</v>
      </c>
      <c r="P9" s="553" t="s">
        <v>134</v>
      </c>
      <c r="Q9" s="535" t="s">
        <v>125</v>
      </c>
      <c r="R9" s="537" t="s">
        <v>173</v>
      </c>
      <c r="S9" s="573" t="s">
        <v>165</v>
      </c>
      <c r="T9" s="233"/>
      <c r="U9" s="234"/>
      <c r="V9" s="234"/>
      <c r="W9" s="234"/>
      <c r="X9" s="234"/>
      <c r="Y9" s="234"/>
      <c r="Z9" s="233"/>
      <c r="AA9" s="234"/>
      <c r="AB9" s="234"/>
      <c r="AC9" s="234"/>
      <c r="AD9" s="234"/>
      <c r="AE9" s="234"/>
      <c r="AF9" s="234"/>
      <c r="AG9" s="234"/>
      <c r="AH9" s="301"/>
    </row>
    <row r="10" spans="1:34" ht="14.5" customHeight="1">
      <c r="B10" s="561"/>
      <c r="C10" s="562"/>
      <c r="D10" s="566"/>
      <c r="E10" s="566"/>
      <c r="F10" s="570"/>
      <c r="G10" s="571"/>
      <c r="H10" s="570"/>
      <c r="I10" s="571"/>
      <c r="J10" s="566"/>
      <c r="K10" s="557"/>
      <c r="L10" s="557"/>
      <c r="M10" s="557"/>
      <c r="N10" s="557"/>
      <c r="O10" s="557"/>
      <c r="P10" s="554"/>
      <c r="Q10" s="535"/>
      <c r="R10" s="535"/>
      <c r="S10" s="574"/>
      <c r="T10" s="233"/>
      <c r="U10" s="572" t="s">
        <v>108</v>
      </c>
      <c r="V10" s="572"/>
      <c r="W10" s="572"/>
      <c r="X10" s="572"/>
      <c r="Y10" s="572"/>
      <c r="Z10" s="249"/>
      <c r="AA10" s="572" t="s">
        <v>168</v>
      </c>
      <c r="AB10" s="572"/>
      <c r="AC10" s="572"/>
      <c r="AD10" s="572"/>
      <c r="AE10" s="572"/>
      <c r="AF10" s="552" t="s">
        <v>232</v>
      </c>
      <c r="AG10" s="552" t="s">
        <v>233</v>
      </c>
    </row>
    <row r="11" spans="1:34" ht="13" customHeight="1" thickBot="1">
      <c r="B11" s="563"/>
      <c r="C11" s="564"/>
      <c r="D11" s="567"/>
      <c r="E11" s="567"/>
      <c r="F11" s="97" t="s">
        <v>14</v>
      </c>
      <c r="G11" s="98" t="s">
        <v>15</v>
      </c>
      <c r="H11" s="97" t="s">
        <v>14</v>
      </c>
      <c r="I11" s="98" t="s">
        <v>15</v>
      </c>
      <c r="J11" s="567"/>
      <c r="K11" s="558"/>
      <c r="L11" s="558"/>
      <c r="M11" s="558"/>
      <c r="N11" s="558"/>
      <c r="O11" s="558"/>
      <c r="P11" s="555"/>
      <c r="Q11" s="536"/>
      <c r="R11" s="536"/>
      <c r="S11" s="575"/>
      <c r="T11" s="109"/>
      <c r="U11" s="245" t="s">
        <v>105</v>
      </c>
      <c r="V11" s="246" t="s">
        <v>106</v>
      </c>
      <c r="W11" s="247" t="s">
        <v>107</v>
      </c>
      <c r="X11" s="246" t="s">
        <v>176</v>
      </c>
      <c r="Y11" s="246" t="s">
        <v>175</v>
      </c>
      <c r="Z11" s="248"/>
      <c r="AA11" s="245" t="s">
        <v>105</v>
      </c>
      <c r="AB11" s="246" t="s">
        <v>106</v>
      </c>
      <c r="AC11" s="246" t="s">
        <v>176</v>
      </c>
      <c r="AD11" s="246" t="s">
        <v>175</v>
      </c>
      <c r="AE11" s="245" t="s">
        <v>229</v>
      </c>
      <c r="AF11" s="552"/>
      <c r="AG11" s="552"/>
      <c r="AH11" s="246" t="s">
        <v>262</v>
      </c>
    </row>
    <row r="12" spans="1:34" ht="0.25" customHeight="1">
      <c r="B12" s="61"/>
      <c r="C12" s="61"/>
      <c r="D12" s="62"/>
      <c r="E12" s="65"/>
      <c r="F12" s="63"/>
      <c r="G12" s="63"/>
      <c r="H12" s="63"/>
      <c r="I12" s="63"/>
      <c r="J12" s="64"/>
      <c r="K12" s="64"/>
      <c r="L12" s="65"/>
      <c r="M12" s="65"/>
      <c r="N12" s="65"/>
      <c r="O12" s="65"/>
      <c r="P12" s="65"/>
      <c r="S12" s="96"/>
      <c r="T12" s="235"/>
      <c r="U12" s="236"/>
      <c r="V12" s="236"/>
      <c r="Z12" s="236"/>
      <c r="AA12" s="236"/>
      <c r="AB12" s="236"/>
      <c r="AH12" s="303"/>
    </row>
    <row r="13" spans="1:34" ht="13" customHeight="1">
      <c r="A13" s="89" t="str">
        <f>IF(ISERROR(VLOOKUP(C13,Datenblatt!$B$84:$B$97,1,FALSE)),"","Ft")</f>
        <v/>
      </c>
      <c r="B13" s="397">
        <f t="shared" ref="B13:B44" si="0">C13</f>
        <v>45412</v>
      </c>
      <c r="C13" s="149">
        <f>C14-1</f>
        <v>45412</v>
      </c>
      <c r="D13" s="153" t="str">
        <f>IF(April!D$43="","",April!D$43)</f>
        <v/>
      </c>
      <c r="E13" s="150" t="str">
        <f>IF(April!E$43="","",April!E$43)</f>
        <v/>
      </c>
      <c r="F13" s="150"/>
      <c r="G13" s="150"/>
      <c r="H13" s="150"/>
      <c r="I13" s="150"/>
      <c r="J13" s="252"/>
      <c r="K13" s="252"/>
      <c r="L13" s="170" t="str">
        <f>IF(D13="ND",9,IF(D13="ND12,5",8.5,""))</f>
        <v/>
      </c>
      <c r="M13" s="170" t="str">
        <f>IF(D13="ND",9,IF(D13="ND12,5",8.5,""))</f>
        <v/>
      </c>
      <c r="N13" s="600" t="str">
        <f>IF(OR(D13="ND",D13="ND12,5"),"Übertrag Vormonat","")</f>
        <v/>
      </c>
      <c r="O13" s="600"/>
      <c r="P13" s="193"/>
      <c r="Q13" s="174"/>
      <c r="R13" s="151"/>
      <c r="S13" s="152"/>
      <c r="T13" s="205"/>
      <c r="U13" s="206"/>
      <c r="V13" s="207"/>
      <c r="W13" s="207"/>
      <c r="X13" s="253"/>
      <c r="Y13" s="253"/>
      <c r="Z13" s="111" t="str">
        <f t="shared" ref="Z13" si="1">IF(E13="ND",25,IF(E13="ND12,5",12.5,""))</f>
        <v/>
      </c>
      <c r="AA13" s="206"/>
      <c r="AB13" s="208"/>
      <c r="AC13" s="208"/>
      <c r="AD13" s="208"/>
      <c r="AE13" s="208"/>
      <c r="AF13" s="112"/>
      <c r="AG13" s="112"/>
      <c r="AH13" s="304"/>
    </row>
    <row r="14" spans="1:34" ht="13" customHeight="1">
      <c r="A14" s="89" t="str">
        <f>IF(ISERROR(VLOOKUP(C14,Datenblatt!$B$84:$B$97,1,FALSE)),"","Ft")</f>
        <v>Ft</v>
      </c>
      <c r="B14" s="84">
        <f t="shared" si="0"/>
        <v>45413</v>
      </c>
      <c r="C14" s="85">
        <f>DATE($D$8,MONTH(B$8),1)</f>
        <v>45413</v>
      </c>
      <c r="D14" s="67"/>
      <c r="E14" s="67"/>
      <c r="F14" s="68"/>
      <c r="G14" s="69"/>
      <c r="H14" s="68"/>
      <c r="I14" s="68"/>
      <c r="J14" s="99"/>
      <c r="K14" s="21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20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10" t="str">
        <f>IF(D14="","",IF(E13="ND",VLOOKUP(D14,Datenblatt!$A$2:$C$31,3,FALSE)-1,IF(E13="ND12,5",VLOOKUP(D14,Datenblatt!$A$2:$C$31,3,FALSE)-0.5,VLOOKUP(D14,Datenblatt!$A$2:$C$31,3,FALSE))))</f>
        <v/>
      </c>
      <c r="N14" s="211" t="str">
        <f t="shared" ref="N14:N44" si="2">IF(AND(F14="",G14=""),"",IF(OR(F14&gt;G14,AND(F14="",G14&gt;0),F14=G14),"ungültig",IF(OR(WEEKDAY(B14,2)=7,A14="Ft"),0,(G14-F14)*24)))</f>
        <v/>
      </c>
      <c r="O14" s="211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86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103" t="str">
        <f>IF(D14="","",VLOOKUP(D14,Datenblatt!$A$2:$D$31,4,FALSE))</f>
        <v/>
      </c>
      <c r="R14" s="104" t="str">
        <f>IF(E14="","",VLOOKUP(E14,Datenblatt!$E$2:$G$28,2,FALSE))</f>
        <v/>
      </c>
      <c r="S14" s="105"/>
      <c r="T14" s="111">
        <f>IF(K14="",0,K14)</f>
        <v>0</v>
      </c>
      <c r="U14" s="110"/>
      <c r="V14" s="112"/>
      <c r="W14" s="113"/>
      <c r="X14" s="254"/>
      <c r="Y14" s="254"/>
      <c r="Z14" s="111" t="str">
        <f>IF(E14="ND",25,IF(E14="ND12,5",12.5,""))</f>
        <v/>
      </c>
      <c r="AA14" s="214">
        <f>IF(E13="ND",IF(ISERROR(MATCH(D14,Datenblatt!$L$2:$L$18,0)),3,2),IF(E13="ND12,5",IF(ISERROR(MATCH(D14,Datenblatt!$L$2:$L$18,0)),2.5,2),0))</f>
        <v>0</v>
      </c>
      <c r="AB14" s="214">
        <f>IF((IF(E14="ND",14-IF(D14="",0,VLOOKUP(D14,Datenblatt!$L$2:$M$30,2,FALSE)),IF(E14="ND12,5",2,0)))&lt;0,0,(IF(E14="ND",14-IF(D14="",0,VLOOKUP(D14,Datenblatt!$L$2:$M$30,2,FALSE)),IF(E14="ND12,5",2,0))))</f>
        <v>0</v>
      </c>
      <c r="AC14" s="214">
        <f>IF(OR(E14="ND",E14="ND12,5"),2,0)</f>
        <v>0</v>
      </c>
      <c r="AD14" s="214">
        <f>IF(OR(E13="ND",E13="ND12,5"),6,0)</f>
        <v>0</v>
      </c>
      <c r="AE14" s="214">
        <f>IF(AND(E13="ND",AA14&gt;=2),1,IF(AND(E13="ND12,5",AA14&gt;=2),0.5,0))</f>
        <v>0</v>
      </c>
      <c r="AF14" s="112">
        <f>IF(OR(D14="ND",D14="ND12,5"),2-X14,0)</f>
        <v>0</v>
      </c>
      <c r="AG14" s="112">
        <f>IF(OR(D13="ND",D13="ND12,5"),6-Y14,0)</f>
        <v>0</v>
      </c>
      <c r="AH14" s="112">
        <f>IF(E14="",0,VLOOKUP(E14,Datenblatt!$E$2:$G$28,3,FALSE))</f>
        <v>0</v>
      </c>
    </row>
    <row r="15" spans="1:34" ht="13" customHeight="1">
      <c r="A15" s="89" t="str">
        <f>IF(ISERROR(VLOOKUP(C15,Datenblatt!$B$84:$B$97,1,FALSE)),"","Ft")</f>
        <v/>
      </c>
      <c r="B15" s="84">
        <f t="shared" si="0"/>
        <v>45414</v>
      </c>
      <c r="C15" s="86">
        <f t="shared" ref="C15:C41" si="4">C14+1</f>
        <v>45414</v>
      </c>
      <c r="D15" s="67"/>
      <c r="E15" s="67"/>
      <c r="F15" s="68"/>
      <c r="G15" s="69"/>
      <c r="H15" s="68"/>
      <c r="I15" s="68"/>
      <c r="J15" s="99"/>
      <c r="K15" s="21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20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10" t="str">
        <f>IF(D15="","",IF(E14="ND",VLOOKUP(D15,Datenblatt!$A$2:$C$31,3,FALSE)-1,IF(E14="ND12,5",VLOOKUP(D15,Datenblatt!$A$2:$C$31,3,FALSE)-0.5,VLOOKUP(D15,Datenblatt!$A$2:$C$31,3,FALSE))))</f>
        <v/>
      </c>
      <c r="N15" s="211" t="str">
        <f t="shared" si="2"/>
        <v/>
      </c>
      <c r="O15" s="211" t="str">
        <f t="shared" si="3"/>
        <v/>
      </c>
      <c r="P15" s="186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103" t="str">
        <f>IF(D15="","",VLOOKUP(D15,Datenblatt!$A$2:$D$31,4,FALSE))</f>
        <v/>
      </c>
      <c r="R15" s="104" t="str">
        <f>IF(E15="","",VLOOKUP(E15,Datenblatt!$E$2:$G$28,2,FALSE))</f>
        <v/>
      </c>
      <c r="S15" s="105"/>
      <c r="T15" s="111">
        <f t="shared" ref="T15:T44" si="5">IF(K15="",0,K15)</f>
        <v>0</v>
      </c>
      <c r="U15" s="114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12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12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54">
        <f t="array" ref="X15">IF(T15=0,0,IF((AND((ROW(T15)=MATCH(TRUE,($T$1:$T$44)&gt;0,0)))),IF(W15&gt;=6,W15-6,0),IF(W15&gt;=2,2,W15)))</f>
        <v>0</v>
      </c>
      <c r="Y15" s="254">
        <f t="array" ref="Y15">IF(T14=0,0,(IF((AND((ROW(T14)=MATCH(TRUE,($T$1:$T$44)&gt;0,0)))),IF(W14&gt;=6,6,W14),IF(W14&gt;=2,W14-2,0))))</f>
        <v>0</v>
      </c>
      <c r="Z15" s="111" t="str">
        <f t="shared" ref="Z15:Z44" si="6">IF(E15="ND",25,IF(E15="ND12,5",12.5,""))</f>
        <v/>
      </c>
      <c r="AA15" s="214">
        <f>IF(E14="ND",IF(ISERROR(MATCH(D15,Datenblatt!$L$2:$L$18,0)),3,2),IF(E14="ND12,5",IF(ISERROR(MATCH(D15,Datenblatt!$L$2:$L$18,0)),2.5,2),0))</f>
        <v>0</v>
      </c>
      <c r="AB15" s="214">
        <f>IF((IF(E15="ND",14-IF(D15="",0,VLOOKUP(D15,Datenblatt!$L$2:$M$30,2,FALSE)),IF(E15="ND12,5",2,0)))&lt;0,0,(IF(E15="ND",14-IF(D15="",0,VLOOKUP(D15,Datenblatt!$L$2:$M$30,2,FALSE)),IF(E15="ND12,5",2,0))))</f>
        <v>0</v>
      </c>
      <c r="AC15" s="214">
        <f t="shared" ref="AC15:AC44" si="7">IF(OR(E15="ND",E15="ND12,5"),2,0)</f>
        <v>0</v>
      </c>
      <c r="AD15" s="214">
        <f t="shared" ref="AD15:AD44" si="8">IF(OR(E14="ND",E14="ND12,5"),6,0)</f>
        <v>0</v>
      </c>
      <c r="AE15" s="214">
        <f t="shared" ref="AE15:AE44" si="9">IF(AND(E14="ND",AA15&gt;=2),1,IF(AND(E14="ND12,5",AA15&gt;=2),0.5,0))</f>
        <v>0</v>
      </c>
      <c r="AF15" s="112">
        <f t="shared" ref="AF15:AF44" si="10">IF(OR(D15="ND",D15="ND12,5"),2-X15,0)</f>
        <v>0</v>
      </c>
      <c r="AG15" s="112">
        <f t="shared" ref="AG15:AG44" si="11">IF(OR(D14="ND",D14="ND12,5"),6-Y15,0)</f>
        <v>0</v>
      </c>
      <c r="AH15" s="112">
        <f>IF(E15="",0,VLOOKUP(E15,Datenblatt!$E$2:$G$28,3,FALSE))</f>
        <v>0</v>
      </c>
    </row>
    <row r="16" spans="1:34" ht="13" customHeight="1">
      <c r="A16" s="89" t="str">
        <f>IF(ISERROR(VLOOKUP(C16,Datenblatt!$B$84:$B$97,1,FALSE)),"","Ft")</f>
        <v/>
      </c>
      <c r="B16" s="84">
        <f t="shared" si="0"/>
        <v>45415</v>
      </c>
      <c r="C16" s="86">
        <f t="shared" si="4"/>
        <v>45415</v>
      </c>
      <c r="D16" s="67"/>
      <c r="E16" s="67"/>
      <c r="F16" s="68"/>
      <c r="G16" s="69"/>
      <c r="H16" s="68"/>
      <c r="I16" s="68"/>
      <c r="J16" s="99"/>
      <c r="K16" s="21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20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10" t="str">
        <f>IF(D16="","",IF(E15="ND",VLOOKUP(D16,Datenblatt!$A$2:$C$31,3,FALSE)-1,IF(E15="ND12,5",VLOOKUP(D16,Datenblatt!$A$2:$C$31,3,FALSE)-0.5,VLOOKUP(D16,Datenblatt!$A$2:$C$31,3,FALSE))))</f>
        <v/>
      </c>
      <c r="N16" s="211" t="str">
        <f t="shared" si="2"/>
        <v/>
      </c>
      <c r="O16" s="211" t="str">
        <f t="shared" si="3"/>
        <v/>
      </c>
      <c r="P16" s="186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103" t="str">
        <f>IF(D16="","",VLOOKUP(D16,Datenblatt!$A$2:$D$31,4,FALSE))</f>
        <v/>
      </c>
      <c r="R16" s="104" t="str">
        <f>IF(E16="","",VLOOKUP(E16,Datenblatt!$E$2:$G$28,2,FALSE))</f>
        <v/>
      </c>
      <c r="S16" s="105"/>
      <c r="T16" s="111">
        <f t="shared" si="5"/>
        <v>0</v>
      </c>
      <c r="U16" s="114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12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12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54">
        <f t="array" ref="X16">IF(T16=0,0,IF((AND((ROW(T16)=MATCH(TRUE,($T$1:$T$44)&gt;0,0)))),IF(W16&gt;=6,W16-6,0),IF(W16&gt;=2,2,W16)))</f>
        <v>0</v>
      </c>
      <c r="Y16" s="254">
        <f t="array" ref="Y16">IF(T15=0,0,(IF((AND((ROW(T15)=MATCH(TRUE,($T$1:$T$44)&gt;0,0)))),IF(W15&gt;=6,6,W15),IF(W15&gt;=2,W15-2,0))))</f>
        <v>0</v>
      </c>
      <c r="Z16" s="111" t="str">
        <f t="shared" si="6"/>
        <v/>
      </c>
      <c r="AA16" s="214">
        <f>IF(E15="ND",IF(ISERROR(MATCH(D16,Datenblatt!$L$2:$L$18,0)),3,2),IF(E15="ND12,5",IF(ISERROR(MATCH(D16,Datenblatt!$L$2:$L$18,0)),2.5,2),0))</f>
        <v>0</v>
      </c>
      <c r="AB16" s="214">
        <f>IF((IF(E16="ND",14-IF(D16="",0,VLOOKUP(D16,Datenblatt!$L$2:$M$30,2,FALSE)),IF(E16="ND12,5",2,0)))&lt;0,0,(IF(E16="ND",14-IF(D16="",0,VLOOKUP(D16,Datenblatt!$L$2:$M$30,2,FALSE)),IF(E16="ND12,5",2,0))))</f>
        <v>0</v>
      </c>
      <c r="AC16" s="214">
        <f t="shared" si="7"/>
        <v>0</v>
      </c>
      <c r="AD16" s="214">
        <f t="shared" si="8"/>
        <v>0</v>
      </c>
      <c r="AE16" s="214">
        <f t="shared" si="9"/>
        <v>0</v>
      </c>
      <c r="AF16" s="112">
        <f t="shared" si="10"/>
        <v>0</v>
      </c>
      <c r="AG16" s="112">
        <f t="shared" si="11"/>
        <v>0</v>
      </c>
      <c r="AH16" s="112">
        <f>IF(E16="",0,VLOOKUP(E16,Datenblatt!$E$2:$G$28,3,FALSE))</f>
        <v>0</v>
      </c>
    </row>
    <row r="17" spans="1:34" ht="13" customHeight="1">
      <c r="A17" s="89" t="str">
        <f>IF(ISERROR(VLOOKUP(C17,Datenblatt!$B$84:$B$97,1,FALSE)),"","Ft")</f>
        <v/>
      </c>
      <c r="B17" s="84">
        <f t="shared" si="0"/>
        <v>45416</v>
      </c>
      <c r="C17" s="86">
        <f t="shared" si="4"/>
        <v>45416</v>
      </c>
      <c r="D17" s="67"/>
      <c r="E17" s="67"/>
      <c r="F17" s="68"/>
      <c r="G17" s="69"/>
      <c r="H17" s="68"/>
      <c r="I17" s="68"/>
      <c r="J17" s="99"/>
      <c r="K17" s="21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20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10" t="str">
        <f>IF(D17="","",IF(E16="ND",VLOOKUP(D17,Datenblatt!$A$2:$C$31,3,FALSE)-1,IF(E16="ND12,5",VLOOKUP(D17,Datenblatt!$A$2:$C$31,3,FALSE)-0.5,VLOOKUP(D17,Datenblatt!$A$2:$C$31,3,FALSE))))</f>
        <v/>
      </c>
      <c r="N17" s="211" t="str">
        <f t="shared" si="2"/>
        <v/>
      </c>
      <c r="O17" s="211" t="str">
        <f t="shared" si="3"/>
        <v/>
      </c>
      <c r="P17" s="186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103" t="str">
        <f>IF(D17="","",VLOOKUP(D17,Datenblatt!$A$2:$D$31,4,FALSE))</f>
        <v/>
      </c>
      <c r="R17" s="104" t="str">
        <f>IF(E17="","",VLOOKUP(E17,Datenblatt!$E$2:$G$28,2,FALSE))</f>
        <v/>
      </c>
      <c r="S17" s="105"/>
      <c r="T17" s="111">
        <f t="shared" si="5"/>
        <v>0</v>
      </c>
      <c r="U17" s="114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12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12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54">
        <f t="array" ref="X17">IF(T17=0,0,IF((AND((ROW(T17)=MATCH(TRUE,($T$1:$T$44)&gt;0,0)))),IF(W17&gt;=6,W17-6,0),IF(W17&gt;=2,2,W17)))</f>
        <v>0</v>
      </c>
      <c r="Y17" s="254">
        <f t="array" ref="Y17">IF(T16=0,0,(IF((AND((ROW(T16)=MATCH(TRUE,($T$1:$T$44)&gt;0,0)))),IF(W16&gt;=6,6,W16),IF(W16&gt;=2,W16-2,0))))</f>
        <v>0</v>
      </c>
      <c r="Z17" s="111" t="str">
        <f t="shared" si="6"/>
        <v/>
      </c>
      <c r="AA17" s="214">
        <f>IF(E16="ND",IF(ISERROR(MATCH(D17,Datenblatt!$L$2:$L$18,0)),3,2),IF(E16="ND12,5",IF(ISERROR(MATCH(D17,Datenblatt!$L$2:$L$18,0)),2.5,2),0))</f>
        <v>0</v>
      </c>
      <c r="AB17" s="214">
        <f>IF((IF(E17="ND",14-IF(D17="",0,VLOOKUP(D17,Datenblatt!$L$2:$M$30,2,FALSE)),IF(E17="ND12,5",2,0)))&lt;0,0,(IF(E17="ND",14-IF(D17="",0,VLOOKUP(D17,Datenblatt!$L$2:$M$30,2,FALSE)),IF(E17="ND12,5",2,0))))</f>
        <v>0</v>
      </c>
      <c r="AC17" s="214">
        <f t="shared" si="7"/>
        <v>0</v>
      </c>
      <c r="AD17" s="214">
        <f t="shared" si="8"/>
        <v>0</v>
      </c>
      <c r="AE17" s="214">
        <f t="shared" si="9"/>
        <v>0</v>
      </c>
      <c r="AF17" s="112">
        <f t="shared" si="10"/>
        <v>0</v>
      </c>
      <c r="AG17" s="112">
        <f t="shared" si="11"/>
        <v>0</v>
      </c>
      <c r="AH17" s="112">
        <f>IF(E17="",0,VLOOKUP(E17,Datenblatt!$E$2:$G$28,3,FALSE))</f>
        <v>0</v>
      </c>
    </row>
    <row r="18" spans="1:34" ht="13" customHeight="1">
      <c r="A18" s="89" t="str">
        <f>IF(ISERROR(VLOOKUP(C18,Datenblatt!$B$84:$B$97,1,FALSE)),"","Ft")</f>
        <v/>
      </c>
      <c r="B18" s="84">
        <f t="shared" si="0"/>
        <v>45417</v>
      </c>
      <c r="C18" s="86">
        <f t="shared" si="4"/>
        <v>45417</v>
      </c>
      <c r="D18" s="67"/>
      <c r="E18" s="67"/>
      <c r="F18" s="68"/>
      <c r="G18" s="69"/>
      <c r="H18" s="68"/>
      <c r="I18" s="68"/>
      <c r="J18" s="99"/>
      <c r="K18" s="21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20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10" t="str">
        <f>IF(D18="","",IF(E17="ND",VLOOKUP(D18,Datenblatt!$A$2:$C$31,3,FALSE)-1,IF(E17="ND12,5",VLOOKUP(D18,Datenblatt!$A$2:$C$31,3,FALSE)-0.5,VLOOKUP(D18,Datenblatt!$A$2:$C$31,3,FALSE))))</f>
        <v/>
      </c>
      <c r="N18" s="211" t="str">
        <f t="shared" si="2"/>
        <v/>
      </c>
      <c r="O18" s="211">
        <f t="shared" si="3"/>
        <v>0</v>
      </c>
      <c r="P18" s="186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103" t="str">
        <f>IF(D18="","",VLOOKUP(D18,Datenblatt!$A$2:$D$31,4,FALSE))</f>
        <v/>
      </c>
      <c r="R18" s="104" t="str">
        <f>IF(E18="","",VLOOKUP(E18,Datenblatt!$E$2:$G$28,2,FALSE))</f>
        <v/>
      </c>
      <c r="S18" s="105"/>
      <c r="T18" s="111">
        <f t="shared" si="5"/>
        <v>0</v>
      </c>
      <c r="U18" s="114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12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12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54">
        <f t="array" ref="X18">IF(T18=0,0,IF((AND((ROW(T18)=MATCH(TRUE,($T$1:$T$44)&gt;0,0)))),IF(W18&gt;=6,W18-6,0),IF(W18&gt;=2,2,W18)))</f>
        <v>0</v>
      </c>
      <c r="Y18" s="254">
        <f t="array" ref="Y18">IF(T17=0,0,(IF((AND((ROW(T17)=MATCH(TRUE,($T$1:$T$44)&gt;0,0)))),IF(W17&gt;=6,6,W17),IF(W17&gt;=2,W17-2,0))))</f>
        <v>0</v>
      </c>
      <c r="Z18" s="111" t="str">
        <f t="shared" si="6"/>
        <v/>
      </c>
      <c r="AA18" s="214">
        <f>IF(E17="ND",IF(ISERROR(MATCH(D18,Datenblatt!$L$2:$L$18,0)),3,2),IF(E17="ND12,5",IF(ISERROR(MATCH(D18,Datenblatt!$L$2:$L$18,0)),2.5,2),0))</f>
        <v>0</v>
      </c>
      <c r="AB18" s="214">
        <f>IF((IF(E18="ND",14-IF(D18="",0,VLOOKUP(D18,Datenblatt!$L$2:$M$30,2,FALSE)),IF(E18="ND12,5",2,0)))&lt;0,0,(IF(E18="ND",14-IF(D18="",0,VLOOKUP(D18,Datenblatt!$L$2:$M$30,2,FALSE)),IF(E18="ND12,5",2,0))))</f>
        <v>0</v>
      </c>
      <c r="AC18" s="214">
        <f t="shared" si="7"/>
        <v>0</v>
      </c>
      <c r="AD18" s="214">
        <f t="shared" si="8"/>
        <v>0</v>
      </c>
      <c r="AE18" s="214">
        <f t="shared" si="9"/>
        <v>0</v>
      </c>
      <c r="AF18" s="112">
        <f t="shared" si="10"/>
        <v>0</v>
      </c>
      <c r="AG18" s="112">
        <f t="shared" si="11"/>
        <v>0</v>
      </c>
      <c r="AH18" s="112">
        <f>IF(E18="",0,VLOOKUP(E18,Datenblatt!$E$2:$G$28,3,FALSE))</f>
        <v>0</v>
      </c>
    </row>
    <row r="19" spans="1:34" ht="13" customHeight="1">
      <c r="A19" s="89" t="str">
        <f>IF(ISERROR(VLOOKUP(C19,Datenblatt!$B$84:$B$97,1,FALSE)),"","Ft")</f>
        <v/>
      </c>
      <c r="B19" s="84">
        <f t="shared" si="0"/>
        <v>45418</v>
      </c>
      <c r="C19" s="86">
        <f t="shared" si="4"/>
        <v>45418</v>
      </c>
      <c r="D19" s="67"/>
      <c r="E19" s="67"/>
      <c r="F19" s="68"/>
      <c r="G19" s="69"/>
      <c r="H19" s="68"/>
      <c r="I19" s="68"/>
      <c r="J19" s="99"/>
      <c r="K19" s="21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20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10" t="str">
        <f>IF(D19="","",IF(E18="ND",VLOOKUP(D19,Datenblatt!$A$2:$C$31,3,FALSE)-1,IF(E18="ND12,5",VLOOKUP(D19,Datenblatt!$A$2:$C$31,3,FALSE)-0.5,VLOOKUP(D19,Datenblatt!$A$2:$C$31,3,FALSE))))</f>
        <v/>
      </c>
      <c r="N19" s="211" t="str">
        <f t="shared" si="2"/>
        <v/>
      </c>
      <c r="O19" s="211" t="str">
        <f t="shared" si="3"/>
        <v/>
      </c>
      <c r="P19" s="186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103" t="str">
        <f>IF(D19="","",VLOOKUP(D19,Datenblatt!$A$2:$D$31,4,FALSE))</f>
        <v/>
      </c>
      <c r="R19" s="104" t="str">
        <f>IF(E19="","",VLOOKUP(E19,Datenblatt!$E$2:$G$28,2,FALSE))</f>
        <v/>
      </c>
      <c r="S19" s="105"/>
      <c r="T19" s="111">
        <f t="shared" si="5"/>
        <v>0</v>
      </c>
      <c r="U19" s="114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12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12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54">
        <f t="array" ref="X19">IF(T19=0,0,IF((AND((ROW(T19)=MATCH(TRUE,($T$1:$T$44)&gt;0,0)))),IF(W19&gt;=6,W19-6,0),IF(W19&gt;=2,2,W19)))</f>
        <v>0</v>
      </c>
      <c r="Y19" s="254">
        <f t="array" ref="Y19">IF(T18=0,0,(IF((AND((ROW(T18)=MATCH(TRUE,($T$1:$T$44)&gt;0,0)))),IF(W18&gt;=6,6,W18),IF(W18&gt;=2,W18-2,0))))</f>
        <v>0</v>
      </c>
      <c r="Z19" s="111" t="str">
        <f t="shared" si="6"/>
        <v/>
      </c>
      <c r="AA19" s="214">
        <f>IF(E18="ND",IF(ISERROR(MATCH(D19,Datenblatt!$L$2:$L$18,0)),3,2),IF(E18="ND12,5",IF(ISERROR(MATCH(D19,Datenblatt!$L$2:$L$18,0)),2.5,2),0))</f>
        <v>0</v>
      </c>
      <c r="AB19" s="214">
        <f>IF((IF(E19="ND",14-IF(D19="",0,VLOOKUP(D19,Datenblatt!$L$2:$M$30,2,FALSE)),IF(E19="ND12,5",2,0)))&lt;0,0,(IF(E19="ND",14-IF(D19="",0,VLOOKUP(D19,Datenblatt!$L$2:$M$30,2,FALSE)),IF(E19="ND12,5",2,0))))</f>
        <v>0</v>
      </c>
      <c r="AC19" s="214">
        <f t="shared" si="7"/>
        <v>0</v>
      </c>
      <c r="AD19" s="214">
        <f t="shared" si="8"/>
        <v>0</v>
      </c>
      <c r="AE19" s="214">
        <f t="shared" si="9"/>
        <v>0</v>
      </c>
      <c r="AF19" s="112">
        <f t="shared" si="10"/>
        <v>0</v>
      </c>
      <c r="AG19" s="112">
        <f t="shared" si="11"/>
        <v>0</v>
      </c>
      <c r="AH19" s="112">
        <f>IF(E19="",0,VLOOKUP(E19,Datenblatt!$E$2:$G$28,3,FALSE))</f>
        <v>0</v>
      </c>
    </row>
    <row r="20" spans="1:34" ht="13" customHeight="1">
      <c r="A20" s="89" t="str">
        <f>IF(ISERROR(VLOOKUP(C20,Datenblatt!$B$84:$B$97,1,FALSE)),"","Ft")</f>
        <v/>
      </c>
      <c r="B20" s="84">
        <f t="shared" si="0"/>
        <v>45419</v>
      </c>
      <c r="C20" s="86">
        <f t="shared" si="4"/>
        <v>45419</v>
      </c>
      <c r="D20" s="67"/>
      <c r="E20" s="67"/>
      <c r="F20" s="68"/>
      <c r="G20" s="69"/>
      <c r="H20" s="68"/>
      <c r="I20" s="68"/>
      <c r="J20" s="99"/>
      <c r="K20" s="21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20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10" t="str">
        <f>IF(D20="","",IF(E19="ND",VLOOKUP(D20,Datenblatt!$A$2:$C$31,3,FALSE)-1,IF(E19="ND12,5",VLOOKUP(D20,Datenblatt!$A$2:$C$31,3,FALSE)-0.5,VLOOKUP(D20,Datenblatt!$A$2:$C$31,3,FALSE))))</f>
        <v/>
      </c>
      <c r="N20" s="211" t="str">
        <f t="shared" si="2"/>
        <v/>
      </c>
      <c r="O20" s="211" t="str">
        <f t="shared" si="3"/>
        <v/>
      </c>
      <c r="P20" s="186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103" t="str">
        <f>IF(D20="","",VLOOKUP(D20,Datenblatt!$A$2:$D$31,4,FALSE))</f>
        <v/>
      </c>
      <c r="R20" s="104" t="str">
        <f>IF(E20="","",VLOOKUP(E20,Datenblatt!$E$2:$G$28,2,FALSE))</f>
        <v/>
      </c>
      <c r="S20" s="105"/>
      <c r="T20" s="111">
        <f t="shared" si="5"/>
        <v>0</v>
      </c>
      <c r="U20" s="114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12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12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54">
        <f t="array" ref="X20">IF(T20=0,0,IF((AND((ROW(T20)=MATCH(TRUE,($T$1:$T$44)&gt;0,0)))),IF(W20&gt;=6,W20-6,0),IF(W20&gt;=2,2,W20)))</f>
        <v>0</v>
      </c>
      <c r="Y20" s="254">
        <f t="array" ref="Y20">IF(T19=0,0,(IF((AND((ROW(T19)=MATCH(TRUE,($T$1:$T$44)&gt;0,0)))),IF(W19&gt;=6,6,W19),IF(W19&gt;=2,W19-2,0))))</f>
        <v>0</v>
      </c>
      <c r="Z20" s="111" t="str">
        <f t="shared" si="6"/>
        <v/>
      </c>
      <c r="AA20" s="214">
        <f>IF(E19="ND",IF(ISERROR(MATCH(D20,Datenblatt!$L$2:$L$18,0)),3,2),IF(E19="ND12,5",IF(ISERROR(MATCH(D20,Datenblatt!$L$2:$L$18,0)),2.5,2),0))</f>
        <v>0</v>
      </c>
      <c r="AB20" s="214">
        <f>IF((IF(E20="ND",14-IF(D20="",0,VLOOKUP(D20,Datenblatt!$L$2:$M$30,2,FALSE)),IF(E20="ND12,5",2,0)))&lt;0,0,(IF(E20="ND",14-IF(D20="",0,VLOOKUP(D20,Datenblatt!$L$2:$M$30,2,FALSE)),IF(E20="ND12,5",2,0))))</f>
        <v>0</v>
      </c>
      <c r="AC20" s="214">
        <f t="shared" si="7"/>
        <v>0</v>
      </c>
      <c r="AD20" s="214">
        <f t="shared" si="8"/>
        <v>0</v>
      </c>
      <c r="AE20" s="214">
        <f t="shared" si="9"/>
        <v>0</v>
      </c>
      <c r="AF20" s="112">
        <f t="shared" si="10"/>
        <v>0</v>
      </c>
      <c r="AG20" s="112">
        <f t="shared" si="11"/>
        <v>0</v>
      </c>
      <c r="AH20" s="112">
        <f>IF(E20="",0,VLOOKUP(E20,Datenblatt!$E$2:$G$28,3,FALSE))</f>
        <v>0</v>
      </c>
    </row>
    <row r="21" spans="1:34" ht="13" customHeight="1">
      <c r="A21" s="89" t="str">
        <f>IF(ISERROR(VLOOKUP(C21,Datenblatt!$B$84:$B$97,1,FALSE)),"","Ft")</f>
        <v/>
      </c>
      <c r="B21" s="84">
        <f t="shared" si="0"/>
        <v>45420</v>
      </c>
      <c r="C21" s="86">
        <f t="shared" si="4"/>
        <v>45420</v>
      </c>
      <c r="D21" s="67"/>
      <c r="E21" s="67"/>
      <c r="F21" s="68"/>
      <c r="G21" s="69"/>
      <c r="H21" s="68"/>
      <c r="I21" s="68"/>
      <c r="J21" s="99"/>
      <c r="K21" s="21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20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10" t="str">
        <f>IF(D21="","",IF(E20="ND",VLOOKUP(D21,Datenblatt!$A$2:$C$31,3,FALSE)-1,IF(E20="ND12,5",VLOOKUP(D21,Datenblatt!$A$2:$C$31,3,FALSE)-0.5,VLOOKUP(D21,Datenblatt!$A$2:$C$31,3,FALSE))))</f>
        <v/>
      </c>
      <c r="N21" s="211" t="str">
        <f t="shared" si="2"/>
        <v/>
      </c>
      <c r="O21" s="211" t="str">
        <f t="shared" si="3"/>
        <v/>
      </c>
      <c r="P21" s="186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103" t="str">
        <f>IF(D21="","",VLOOKUP(D21,Datenblatt!$A$2:$D$31,4,FALSE))</f>
        <v/>
      </c>
      <c r="R21" s="104" t="str">
        <f>IF(E21="","",VLOOKUP(E21,Datenblatt!$E$2:$G$28,2,FALSE))</f>
        <v/>
      </c>
      <c r="S21" s="105"/>
      <c r="T21" s="111">
        <f t="shared" si="5"/>
        <v>0</v>
      </c>
      <c r="U21" s="114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12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12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54">
        <f t="array" ref="X21">IF(T21=0,0,IF((AND((ROW(T21)=MATCH(TRUE,($T$1:$T$44)&gt;0,0)))),IF(W21&gt;=6,W21-6,0),IF(W21&gt;=2,2,W21)))</f>
        <v>0</v>
      </c>
      <c r="Y21" s="254">
        <f t="array" ref="Y21">IF(T20=0,0,(IF((AND((ROW(T20)=MATCH(TRUE,($T$1:$T$44)&gt;0,0)))),IF(W20&gt;=6,6,W20),IF(W20&gt;=2,W20-2,0))))</f>
        <v>0</v>
      </c>
      <c r="Z21" s="111" t="str">
        <f t="shared" si="6"/>
        <v/>
      </c>
      <c r="AA21" s="214">
        <f>IF(E20="ND",IF(ISERROR(MATCH(D21,Datenblatt!$L$2:$L$18,0)),3,2),IF(E20="ND12,5",IF(ISERROR(MATCH(D21,Datenblatt!$L$2:$L$18,0)),2.5,2),0))</f>
        <v>0</v>
      </c>
      <c r="AB21" s="214">
        <f>IF((IF(E21="ND",14-IF(D21="",0,VLOOKUP(D21,Datenblatt!$L$2:$M$30,2,FALSE)),IF(E21="ND12,5",2,0)))&lt;0,0,(IF(E21="ND",14-IF(D21="",0,VLOOKUP(D21,Datenblatt!$L$2:$M$30,2,FALSE)),IF(E21="ND12,5",2,0))))</f>
        <v>0</v>
      </c>
      <c r="AC21" s="214">
        <f t="shared" si="7"/>
        <v>0</v>
      </c>
      <c r="AD21" s="214">
        <f t="shared" si="8"/>
        <v>0</v>
      </c>
      <c r="AE21" s="214">
        <f t="shared" si="9"/>
        <v>0</v>
      </c>
      <c r="AF21" s="112">
        <f t="shared" si="10"/>
        <v>0</v>
      </c>
      <c r="AG21" s="112">
        <f t="shared" si="11"/>
        <v>0</v>
      </c>
      <c r="AH21" s="112">
        <f>IF(E21="",0,VLOOKUP(E21,Datenblatt!$E$2:$G$28,3,FALSE))</f>
        <v>0</v>
      </c>
    </row>
    <row r="22" spans="1:34" ht="13" customHeight="1">
      <c r="A22" s="89" t="str">
        <f>IF(ISERROR(VLOOKUP(C22,Datenblatt!$B$84:$B$97,1,FALSE)),"","Ft")</f>
        <v>Ft</v>
      </c>
      <c r="B22" s="84">
        <f t="shared" si="0"/>
        <v>45421</v>
      </c>
      <c r="C22" s="86">
        <f t="shared" si="4"/>
        <v>45421</v>
      </c>
      <c r="D22" s="67"/>
      <c r="E22" s="67"/>
      <c r="F22" s="68"/>
      <c r="G22" s="69"/>
      <c r="H22" s="68"/>
      <c r="I22" s="68"/>
      <c r="J22" s="99"/>
      <c r="K22" s="21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20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10" t="str">
        <f>IF(D22="","",IF(E21="ND",VLOOKUP(D22,Datenblatt!$A$2:$C$31,3,FALSE)-1,IF(E21="ND12,5",VLOOKUP(D22,Datenblatt!$A$2:$C$31,3,FALSE)-0.5,VLOOKUP(D22,Datenblatt!$A$2:$C$31,3,FALSE))))</f>
        <v/>
      </c>
      <c r="N22" s="211" t="str">
        <f t="shared" si="2"/>
        <v/>
      </c>
      <c r="O22" s="211">
        <f t="shared" si="3"/>
        <v>0</v>
      </c>
      <c r="P22" s="186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103" t="str">
        <f>IF(D22="","",VLOOKUP(D22,Datenblatt!$A$2:$D$31,4,FALSE))</f>
        <v/>
      </c>
      <c r="R22" s="104" t="str">
        <f>IF(E22="","",VLOOKUP(E22,Datenblatt!$E$2:$G$28,2,FALSE))</f>
        <v/>
      </c>
      <c r="S22" s="105"/>
      <c r="T22" s="111">
        <f t="shared" si="5"/>
        <v>0</v>
      </c>
      <c r="U22" s="114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12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12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54">
        <f t="array" ref="X22">IF(T22=0,0,IF((AND((ROW(T22)=MATCH(TRUE,($T$1:$T$44)&gt;0,0)))),IF(W22&gt;=6,W22-6,0),IF(W22&gt;=2,2,W22)))</f>
        <v>0</v>
      </c>
      <c r="Y22" s="254">
        <f t="array" ref="Y22">IF(T21=0,0,(IF((AND((ROW(T21)=MATCH(TRUE,($T$1:$T$44)&gt;0,0)))),IF(W21&gt;=6,6,W21),IF(W21&gt;=2,W21-2,0))))</f>
        <v>0</v>
      </c>
      <c r="Z22" s="111" t="str">
        <f t="shared" si="6"/>
        <v/>
      </c>
      <c r="AA22" s="214">
        <f>IF(E21="ND",IF(ISERROR(MATCH(D22,Datenblatt!$L$2:$L$18,0)),3,2),IF(E21="ND12,5",IF(ISERROR(MATCH(D22,Datenblatt!$L$2:$L$18,0)),2.5,2),0))</f>
        <v>0</v>
      </c>
      <c r="AB22" s="214">
        <f>IF((IF(E22="ND",14-IF(D22="",0,VLOOKUP(D22,Datenblatt!$L$2:$M$30,2,FALSE)),IF(E22="ND12,5",2,0)))&lt;0,0,(IF(E22="ND",14-IF(D22="",0,VLOOKUP(D22,Datenblatt!$L$2:$M$30,2,FALSE)),IF(E22="ND12,5",2,0))))</f>
        <v>0</v>
      </c>
      <c r="AC22" s="214">
        <f t="shared" si="7"/>
        <v>0</v>
      </c>
      <c r="AD22" s="214">
        <f t="shared" si="8"/>
        <v>0</v>
      </c>
      <c r="AE22" s="214">
        <f t="shared" si="9"/>
        <v>0</v>
      </c>
      <c r="AF22" s="112">
        <f t="shared" si="10"/>
        <v>0</v>
      </c>
      <c r="AG22" s="112">
        <f t="shared" si="11"/>
        <v>0</v>
      </c>
      <c r="AH22" s="112">
        <f>IF(E22="",0,VLOOKUP(E22,Datenblatt!$E$2:$G$28,3,FALSE))</f>
        <v>0</v>
      </c>
    </row>
    <row r="23" spans="1:34" ht="13" customHeight="1">
      <c r="A23" s="89" t="str">
        <f>IF(ISERROR(VLOOKUP(C23,Datenblatt!$B$84:$B$97,1,FALSE)),"","Ft")</f>
        <v/>
      </c>
      <c r="B23" s="84">
        <f t="shared" si="0"/>
        <v>45422</v>
      </c>
      <c r="C23" s="86">
        <f t="shared" si="4"/>
        <v>45422</v>
      </c>
      <c r="D23" s="67"/>
      <c r="E23" s="67"/>
      <c r="F23" s="68"/>
      <c r="G23" s="69"/>
      <c r="H23" s="68"/>
      <c r="I23" s="68"/>
      <c r="J23" s="99"/>
      <c r="K23" s="21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20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10" t="str">
        <f>IF(D23="","",IF(E22="ND",VLOOKUP(D23,Datenblatt!$A$2:$C$31,3,FALSE)-1,IF(E22="ND12,5",VLOOKUP(D23,Datenblatt!$A$2:$C$31,3,FALSE)-0.5,VLOOKUP(D23,Datenblatt!$A$2:$C$31,3,FALSE))))</f>
        <v/>
      </c>
      <c r="N23" s="211" t="str">
        <f t="shared" si="2"/>
        <v/>
      </c>
      <c r="O23" s="211" t="str">
        <f t="shared" si="3"/>
        <v/>
      </c>
      <c r="P23" s="186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103" t="str">
        <f>IF(D23="","",VLOOKUP(D23,Datenblatt!$A$2:$D$31,4,FALSE))</f>
        <v/>
      </c>
      <c r="R23" s="104" t="str">
        <f>IF(E23="","",VLOOKUP(E23,Datenblatt!$E$2:$G$28,2,FALSE))</f>
        <v/>
      </c>
      <c r="S23" s="105"/>
      <c r="T23" s="111">
        <f t="shared" si="5"/>
        <v>0</v>
      </c>
      <c r="U23" s="114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12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12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54">
        <f t="array" ref="X23">IF(T23=0,0,IF((AND((ROW(T23)=MATCH(TRUE,($T$1:$T$44)&gt;0,0)))),IF(W23&gt;=6,W23-6,0),IF(W23&gt;=2,2,W23)))</f>
        <v>0</v>
      </c>
      <c r="Y23" s="254">
        <f t="array" ref="Y23">IF(T22=0,0,(IF((AND((ROW(T22)=MATCH(TRUE,($T$1:$T$44)&gt;0,0)))),IF(W22&gt;=6,6,W22),IF(W22&gt;=2,W22-2,0))))</f>
        <v>0</v>
      </c>
      <c r="Z23" s="111" t="str">
        <f t="shared" si="6"/>
        <v/>
      </c>
      <c r="AA23" s="214">
        <f>IF(E22="ND",IF(ISERROR(MATCH(D23,Datenblatt!$L$2:$L$18,0)),3,2),IF(E22="ND12,5",IF(ISERROR(MATCH(D23,Datenblatt!$L$2:$L$18,0)),2.5,2),0))</f>
        <v>0</v>
      </c>
      <c r="AB23" s="214">
        <f>IF((IF(E23="ND",14-IF(D23="",0,VLOOKUP(D23,Datenblatt!$L$2:$M$30,2,FALSE)),IF(E23="ND12,5",2,0)))&lt;0,0,(IF(E23="ND",14-IF(D23="",0,VLOOKUP(D23,Datenblatt!$L$2:$M$30,2,FALSE)),IF(E23="ND12,5",2,0))))</f>
        <v>0</v>
      </c>
      <c r="AC23" s="214">
        <f t="shared" si="7"/>
        <v>0</v>
      </c>
      <c r="AD23" s="214">
        <f t="shared" si="8"/>
        <v>0</v>
      </c>
      <c r="AE23" s="214">
        <f t="shared" si="9"/>
        <v>0</v>
      </c>
      <c r="AF23" s="112">
        <f t="shared" si="10"/>
        <v>0</v>
      </c>
      <c r="AG23" s="112">
        <f t="shared" si="11"/>
        <v>0</v>
      </c>
      <c r="AH23" s="112">
        <f>IF(E23="",0,VLOOKUP(E23,Datenblatt!$E$2:$G$28,3,FALSE))</f>
        <v>0</v>
      </c>
    </row>
    <row r="24" spans="1:34" ht="13" customHeight="1">
      <c r="A24" s="89" t="str">
        <f>IF(ISERROR(VLOOKUP(C24,Datenblatt!$B$84:$B$97,1,FALSE)),"","Ft")</f>
        <v/>
      </c>
      <c r="B24" s="84">
        <f t="shared" si="0"/>
        <v>45423</v>
      </c>
      <c r="C24" s="86">
        <f t="shared" si="4"/>
        <v>45423</v>
      </c>
      <c r="D24" s="67"/>
      <c r="E24" s="67"/>
      <c r="F24" s="68"/>
      <c r="G24" s="69"/>
      <c r="H24" s="68"/>
      <c r="I24" s="68"/>
      <c r="J24" s="99"/>
      <c r="K24" s="21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20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10" t="str">
        <f>IF(D24="","",IF(E23="ND",VLOOKUP(D24,Datenblatt!$A$2:$C$31,3,FALSE)-1,IF(E23="ND12,5",VLOOKUP(D24,Datenblatt!$A$2:$C$31,3,FALSE)-0.5,VLOOKUP(D24,Datenblatt!$A$2:$C$31,3,FALSE))))</f>
        <v/>
      </c>
      <c r="N24" s="211" t="str">
        <f t="shared" si="2"/>
        <v/>
      </c>
      <c r="O24" s="211" t="str">
        <f t="shared" si="3"/>
        <v/>
      </c>
      <c r="P24" s="186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103" t="str">
        <f>IF(D24="","",VLOOKUP(D24,Datenblatt!$A$2:$D$31,4,FALSE))</f>
        <v/>
      </c>
      <c r="R24" s="104" t="str">
        <f>IF(E24="","",VLOOKUP(E24,Datenblatt!$E$2:$G$28,2,FALSE))</f>
        <v/>
      </c>
      <c r="S24" s="105"/>
      <c r="T24" s="111">
        <f t="shared" si="5"/>
        <v>0</v>
      </c>
      <c r="U24" s="114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12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12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54">
        <f t="array" ref="X24">IF(T24=0,0,IF((AND((ROW(T24)=MATCH(TRUE,($T$1:$T$44)&gt;0,0)))),IF(W24&gt;=6,W24-6,0),IF(W24&gt;=2,2,W24)))</f>
        <v>0</v>
      </c>
      <c r="Y24" s="254">
        <f t="array" ref="Y24">IF(T23=0,0,(IF((AND((ROW(T23)=MATCH(TRUE,($T$1:$T$44)&gt;0,0)))),IF(W23&gt;=6,6,W23),IF(W23&gt;=2,W23-2,0))))</f>
        <v>0</v>
      </c>
      <c r="Z24" s="111" t="str">
        <f t="shared" si="6"/>
        <v/>
      </c>
      <c r="AA24" s="214">
        <f>IF(E23="ND",IF(ISERROR(MATCH(D24,Datenblatt!$L$2:$L$18,0)),3,2),IF(E23="ND12,5",IF(ISERROR(MATCH(D24,Datenblatt!$L$2:$L$18,0)),2.5,2),0))</f>
        <v>0</v>
      </c>
      <c r="AB24" s="214">
        <f>IF((IF(E24="ND",14-IF(D24="",0,VLOOKUP(D24,Datenblatt!$L$2:$M$30,2,FALSE)),IF(E24="ND12,5",2,0)))&lt;0,0,(IF(E24="ND",14-IF(D24="",0,VLOOKUP(D24,Datenblatt!$L$2:$M$30,2,FALSE)),IF(E24="ND12,5",2,0))))</f>
        <v>0</v>
      </c>
      <c r="AC24" s="214">
        <f t="shared" si="7"/>
        <v>0</v>
      </c>
      <c r="AD24" s="214">
        <f t="shared" si="8"/>
        <v>0</v>
      </c>
      <c r="AE24" s="214">
        <f t="shared" si="9"/>
        <v>0</v>
      </c>
      <c r="AF24" s="112">
        <f t="shared" si="10"/>
        <v>0</v>
      </c>
      <c r="AG24" s="112">
        <f t="shared" si="11"/>
        <v>0</v>
      </c>
      <c r="AH24" s="112">
        <f>IF(E24="",0,VLOOKUP(E24,Datenblatt!$E$2:$G$28,3,FALSE))</f>
        <v>0</v>
      </c>
    </row>
    <row r="25" spans="1:34" ht="13" customHeight="1">
      <c r="A25" s="89" t="str">
        <f>IF(ISERROR(VLOOKUP(C25,Datenblatt!$B$84:$B$97,1,FALSE)),"","Ft")</f>
        <v/>
      </c>
      <c r="B25" s="84">
        <f t="shared" si="0"/>
        <v>45424</v>
      </c>
      <c r="C25" s="86">
        <f t="shared" si="4"/>
        <v>45424</v>
      </c>
      <c r="D25" s="67"/>
      <c r="E25" s="67"/>
      <c r="F25" s="68"/>
      <c r="G25" s="69"/>
      <c r="H25" s="68"/>
      <c r="I25" s="68"/>
      <c r="J25" s="99"/>
      <c r="K25" s="21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20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10" t="str">
        <f>IF(D25="","",IF(E24="ND",VLOOKUP(D25,Datenblatt!$A$2:$C$31,3,FALSE)-1,IF(E24="ND12,5",VLOOKUP(D25,Datenblatt!$A$2:$C$31,3,FALSE)-0.5,VLOOKUP(D25,Datenblatt!$A$2:$C$31,3,FALSE))))</f>
        <v/>
      </c>
      <c r="N25" s="211" t="str">
        <f t="shared" si="2"/>
        <v/>
      </c>
      <c r="O25" s="211">
        <f t="shared" si="3"/>
        <v>0</v>
      </c>
      <c r="P25" s="186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103" t="str">
        <f>IF(D25="","",VLOOKUP(D25,Datenblatt!$A$2:$D$31,4,FALSE))</f>
        <v/>
      </c>
      <c r="R25" s="104" t="str">
        <f>IF(E25="","",VLOOKUP(E25,Datenblatt!$E$2:$G$28,2,FALSE))</f>
        <v/>
      </c>
      <c r="S25" s="105"/>
      <c r="T25" s="111">
        <f t="shared" si="5"/>
        <v>0</v>
      </c>
      <c r="U25" s="114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12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12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54">
        <f t="array" ref="X25">IF(T25=0,0,IF((AND((ROW(T25)=MATCH(TRUE,($T$1:$T$44)&gt;0,0)))),IF(W25&gt;=6,W25-6,0),IF(W25&gt;=2,2,W25)))</f>
        <v>0</v>
      </c>
      <c r="Y25" s="254">
        <f t="array" ref="Y25">IF(T24=0,0,(IF((AND((ROW(T24)=MATCH(TRUE,($T$1:$T$44)&gt;0,0)))),IF(W24&gt;=6,6,W24),IF(W24&gt;=2,W24-2,0))))</f>
        <v>0</v>
      </c>
      <c r="Z25" s="111" t="str">
        <f t="shared" si="6"/>
        <v/>
      </c>
      <c r="AA25" s="214">
        <f>IF(E24="ND",IF(ISERROR(MATCH(D25,Datenblatt!$L$2:$L$18,0)),3,2),IF(E24="ND12,5",IF(ISERROR(MATCH(D25,Datenblatt!$L$2:$L$18,0)),2.5,2),0))</f>
        <v>0</v>
      </c>
      <c r="AB25" s="214">
        <f>IF((IF(E25="ND",14-IF(D25="",0,VLOOKUP(D25,Datenblatt!$L$2:$M$30,2,FALSE)),IF(E25="ND12,5",2,0)))&lt;0,0,(IF(E25="ND",14-IF(D25="",0,VLOOKUP(D25,Datenblatt!$L$2:$M$30,2,FALSE)),IF(E25="ND12,5",2,0))))</f>
        <v>0</v>
      </c>
      <c r="AC25" s="214">
        <f t="shared" si="7"/>
        <v>0</v>
      </c>
      <c r="AD25" s="214">
        <f t="shared" si="8"/>
        <v>0</v>
      </c>
      <c r="AE25" s="214">
        <f t="shared" si="9"/>
        <v>0</v>
      </c>
      <c r="AF25" s="112">
        <f t="shared" si="10"/>
        <v>0</v>
      </c>
      <c r="AG25" s="112">
        <f t="shared" si="11"/>
        <v>0</v>
      </c>
      <c r="AH25" s="112">
        <f>IF(E25="",0,VLOOKUP(E25,Datenblatt!$E$2:$G$28,3,FALSE))</f>
        <v>0</v>
      </c>
    </row>
    <row r="26" spans="1:34" ht="13" customHeight="1">
      <c r="A26" s="89" t="str">
        <f>IF(ISERROR(VLOOKUP(C26,Datenblatt!$B$84:$B$97,1,FALSE)),"","Ft")</f>
        <v/>
      </c>
      <c r="B26" s="84">
        <f t="shared" si="0"/>
        <v>45425</v>
      </c>
      <c r="C26" s="86">
        <f t="shared" si="4"/>
        <v>45425</v>
      </c>
      <c r="D26" s="67"/>
      <c r="E26" s="67"/>
      <c r="F26" s="68"/>
      <c r="G26" s="69"/>
      <c r="H26" s="68"/>
      <c r="I26" s="68"/>
      <c r="J26" s="99"/>
      <c r="K26" s="21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20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10" t="str">
        <f>IF(D26="","",IF(E25="ND",VLOOKUP(D26,Datenblatt!$A$2:$C$31,3,FALSE)-1,IF(E25="ND12,5",VLOOKUP(D26,Datenblatt!$A$2:$C$31,3,FALSE)-0.5,VLOOKUP(D26,Datenblatt!$A$2:$C$31,3,FALSE))))</f>
        <v/>
      </c>
      <c r="N26" s="211" t="str">
        <f t="shared" si="2"/>
        <v/>
      </c>
      <c r="O26" s="211" t="str">
        <f t="shared" si="3"/>
        <v/>
      </c>
      <c r="P26" s="186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103" t="str">
        <f>IF(D26="","",VLOOKUP(D26,Datenblatt!$A$2:$D$31,4,FALSE))</f>
        <v/>
      </c>
      <c r="R26" s="104" t="str">
        <f>IF(E26="","",VLOOKUP(E26,Datenblatt!$E$2:$G$28,2,FALSE))</f>
        <v/>
      </c>
      <c r="S26" s="105"/>
      <c r="T26" s="111">
        <f t="shared" si="5"/>
        <v>0</v>
      </c>
      <c r="U26" s="114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12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12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54">
        <f t="array" ref="X26">IF(T26=0,0,IF((AND((ROW(T26)=MATCH(TRUE,($T$1:$T$44)&gt;0,0)))),IF(W26&gt;=6,W26-6,0),IF(W26&gt;=2,2,W26)))</f>
        <v>0</v>
      </c>
      <c r="Y26" s="254">
        <f t="array" ref="Y26">IF(T25=0,0,(IF((AND((ROW(T25)=MATCH(TRUE,($T$1:$T$44)&gt;0,0)))),IF(W25&gt;=6,6,W25),IF(W25&gt;=2,W25-2,0))))</f>
        <v>0</v>
      </c>
      <c r="Z26" s="111" t="str">
        <f t="shared" si="6"/>
        <v/>
      </c>
      <c r="AA26" s="214">
        <f>IF(E25="ND",IF(ISERROR(MATCH(D26,Datenblatt!$L$2:$L$18,0)),3,2),IF(E25="ND12,5",IF(ISERROR(MATCH(D26,Datenblatt!$L$2:$L$18,0)),2.5,2),0))</f>
        <v>0</v>
      </c>
      <c r="AB26" s="214">
        <f>IF((IF(E26="ND",14-IF(D26="",0,VLOOKUP(D26,Datenblatt!$L$2:$M$30,2,FALSE)),IF(E26="ND12,5",2,0)))&lt;0,0,(IF(E26="ND",14-IF(D26="",0,VLOOKUP(D26,Datenblatt!$L$2:$M$30,2,FALSE)),IF(E26="ND12,5",2,0))))</f>
        <v>0</v>
      </c>
      <c r="AC26" s="214">
        <f t="shared" si="7"/>
        <v>0</v>
      </c>
      <c r="AD26" s="214">
        <f t="shared" si="8"/>
        <v>0</v>
      </c>
      <c r="AE26" s="214">
        <f t="shared" si="9"/>
        <v>0</v>
      </c>
      <c r="AF26" s="112">
        <f t="shared" si="10"/>
        <v>0</v>
      </c>
      <c r="AG26" s="112">
        <f t="shared" si="11"/>
        <v>0</v>
      </c>
      <c r="AH26" s="112">
        <f>IF(E26="",0,VLOOKUP(E26,Datenblatt!$E$2:$G$28,3,FALSE))</f>
        <v>0</v>
      </c>
    </row>
    <row r="27" spans="1:34" ht="13" customHeight="1">
      <c r="A27" s="89" t="str">
        <f>IF(ISERROR(VLOOKUP(C27,Datenblatt!$B$84:$B$97,1,FALSE)),"","Ft")</f>
        <v/>
      </c>
      <c r="B27" s="84">
        <f t="shared" si="0"/>
        <v>45426</v>
      </c>
      <c r="C27" s="86">
        <f t="shared" si="4"/>
        <v>45426</v>
      </c>
      <c r="D27" s="67"/>
      <c r="E27" s="67"/>
      <c r="F27" s="68"/>
      <c r="G27" s="69"/>
      <c r="H27" s="68"/>
      <c r="I27" s="68"/>
      <c r="J27" s="99"/>
      <c r="K27" s="21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20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10" t="str">
        <f>IF(D27="","",IF(E26="ND",VLOOKUP(D27,Datenblatt!$A$2:$C$31,3,FALSE)-1,IF(E26="ND12,5",VLOOKUP(D27,Datenblatt!$A$2:$C$31,3,FALSE)-0.5,VLOOKUP(D27,Datenblatt!$A$2:$C$31,3,FALSE))))</f>
        <v/>
      </c>
      <c r="N27" s="211" t="str">
        <f t="shared" si="2"/>
        <v/>
      </c>
      <c r="O27" s="211" t="str">
        <f t="shared" si="3"/>
        <v/>
      </c>
      <c r="P27" s="186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103" t="str">
        <f>IF(D27="","",VLOOKUP(D27,Datenblatt!$A$2:$D$31,4,FALSE))</f>
        <v/>
      </c>
      <c r="R27" s="104" t="str">
        <f>IF(E27="","",VLOOKUP(E27,Datenblatt!$E$2:$G$28,2,FALSE))</f>
        <v/>
      </c>
      <c r="S27" s="105"/>
      <c r="T27" s="111">
        <f t="shared" si="5"/>
        <v>0</v>
      </c>
      <c r="U27" s="114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12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12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54">
        <f t="array" ref="X27">IF(T27=0,0,IF((AND((ROW(T27)=MATCH(TRUE,($T$1:$T$44)&gt;0,0)))),IF(W27&gt;=6,W27-6,0),IF(W27&gt;=2,2,W27)))</f>
        <v>0</v>
      </c>
      <c r="Y27" s="254">
        <f t="array" ref="Y27">IF(T26=0,0,(IF((AND((ROW(T26)=MATCH(TRUE,($T$1:$T$44)&gt;0,0)))),IF(W26&gt;=6,6,W26),IF(W26&gt;=2,W26-2,0))))</f>
        <v>0</v>
      </c>
      <c r="Z27" s="111" t="str">
        <f t="shared" si="6"/>
        <v/>
      </c>
      <c r="AA27" s="214">
        <f>IF(E26="ND",IF(ISERROR(MATCH(D27,Datenblatt!$L$2:$L$18,0)),3,2),IF(E26="ND12,5",IF(ISERROR(MATCH(D27,Datenblatt!$L$2:$L$18,0)),2.5,2),0))</f>
        <v>0</v>
      </c>
      <c r="AB27" s="214">
        <f>IF((IF(E27="ND",14-IF(D27="",0,VLOOKUP(D27,Datenblatt!$L$2:$M$30,2,FALSE)),IF(E27="ND12,5",2,0)))&lt;0,0,(IF(E27="ND",14-IF(D27="",0,VLOOKUP(D27,Datenblatt!$L$2:$M$30,2,FALSE)),IF(E27="ND12,5",2,0))))</f>
        <v>0</v>
      </c>
      <c r="AC27" s="214">
        <f t="shared" si="7"/>
        <v>0</v>
      </c>
      <c r="AD27" s="214">
        <f t="shared" si="8"/>
        <v>0</v>
      </c>
      <c r="AE27" s="214">
        <f t="shared" si="9"/>
        <v>0</v>
      </c>
      <c r="AF27" s="112">
        <f t="shared" si="10"/>
        <v>0</v>
      </c>
      <c r="AG27" s="112">
        <f t="shared" si="11"/>
        <v>0</v>
      </c>
      <c r="AH27" s="112">
        <f>IF(E27="",0,VLOOKUP(E27,Datenblatt!$E$2:$G$28,3,FALSE))</f>
        <v>0</v>
      </c>
    </row>
    <row r="28" spans="1:34" ht="13" customHeight="1">
      <c r="A28" s="89" t="str">
        <f>IF(ISERROR(VLOOKUP(C28,Datenblatt!$B$84:$B$97,1,FALSE)),"","Ft")</f>
        <v/>
      </c>
      <c r="B28" s="84">
        <f t="shared" si="0"/>
        <v>45427</v>
      </c>
      <c r="C28" s="86">
        <f t="shared" si="4"/>
        <v>45427</v>
      </c>
      <c r="D28" s="67"/>
      <c r="E28" s="67"/>
      <c r="F28" s="68"/>
      <c r="G28" s="69"/>
      <c r="H28" s="68"/>
      <c r="I28" s="68"/>
      <c r="J28" s="99"/>
      <c r="K28" s="21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20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10" t="str">
        <f>IF(D28="","",IF(E27="ND",VLOOKUP(D28,Datenblatt!$A$2:$C$31,3,FALSE)-1,IF(E27="ND12,5",VLOOKUP(D28,Datenblatt!$A$2:$C$31,3,FALSE)-0.5,VLOOKUP(D28,Datenblatt!$A$2:$C$31,3,FALSE))))</f>
        <v/>
      </c>
      <c r="N28" s="211" t="str">
        <f t="shared" si="2"/>
        <v/>
      </c>
      <c r="O28" s="211" t="str">
        <f t="shared" si="3"/>
        <v/>
      </c>
      <c r="P28" s="186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103" t="str">
        <f>IF(D28="","",VLOOKUP(D28,Datenblatt!$A$2:$D$31,4,FALSE))</f>
        <v/>
      </c>
      <c r="R28" s="104" t="str">
        <f>IF(E28="","",VLOOKUP(E28,Datenblatt!$E$2:$G$28,2,FALSE))</f>
        <v/>
      </c>
      <c r="S28" s="105"/>
      <c r="T28" s="111">
        <f t="shared" si="5"/>
        <v>0</v>
      </c>
      <c r="U28" s="114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12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12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54">
        <f t="array" ref="X28">IF(T28=0,0,IF((AND((ROW(T28)=MATCH(TRUE,($T$1:$T$44)&gt;0,0)))),IF(W28&gt;=6,W28-6,0),IF(W28&gt;=2,2,W28)))</f>
        <v>0</v>
      </c>
      <c r="Y28" s="254">
        <f t="array" ref="Y28">IF(T27=0,0,(IF((AND((ROW(T27)=MATCH(TRUE,($T$1:$T$44)&gt;0,0)))),IF(W27&gt;=6,6,W27),IF(W27&gt;=2,W27-2,0))))</f>
        <v>0</v>
      </c>
      <c r="Z28" s="111" t="str">
        <f t="shared" si="6"/>
        <v/>
      </c>
      <c r="AA28" s="214">
        <f>IF(E27="ND",IF(ISERROR(MATCH(D28,Datenblatt!$L$2:$L$18,0)),3,2),IF(E27="ND12,5",IF(ISERROR(MATCH(D28,Datenblatt!$L$2:$L$18,0)),2.5,2),0))</f>
        <v>0</v>
      </c>
      <c r="AB28" s="214">
        <f>IF((IF(E28="ND",14-IF(D28="",0,VLOOKUP(D28,Datenblatt!$L$2:$M$30,2,FALSE)),IF(E28="ND12,5",2,0)))&lt;0,0,(IF(E28="ND",14-IF(D28="",0,VLOOKUP(D28,Datenblatt!$L$2:$M$30,2,FALSE)),IF(E28="ND12,5",2,0))))</f>
        <v>0</v>
      </c>
      <c r="AC28" s="214">
        <f t="shared" si="7"/>
        <v>0</v>
      </c>
      <c r="AD28" s="214">
        <f t="shared" si="8"/>
        <v>0</v>
      </c>
      <c r="AE28" s="214">
        <f t="shared" si="9"/>
        <v>0</v>
      </c>
      <c r="AF28" s="112">
        <f t="shared" si="10"/>
        <v>0</v>
      </c>
      <c r="AG28" s="112">
        <f t="shared" si="11"/>
        <v>0</v>
      </c>
      <c r="AH28" s="112">
        <f>IF(E28="",0,VLOOKUP(E28,Datenblatt!$E$2:$G$28,3,FALSE))</f>
        <v>0</v>
      </c>
    </row>
    <row r="29" spans="1:34" ht="13" customHeight="1">
      <c r="A29" s="89" t="str">
        <f>IF(ISERROR(VLOOKUP(C29,Datenblatt!$B$84:$B$97,1,FALSE)),"","Ft")</f>
        <v/>
      </c>
      <c r="B29" s="84">
        <f t="shared" si="0"/>
        <v>45428</v>
      </c>
      <c r="C29" s="86">
        <f t="shared" si="4"/>
        <v>45428</v>
      </c>
      <c r="D29" s="67"/>
      <c r="E29" s="67"/>
      <c r="F29" s="68"/>
      <c r="G29" s="69"/>
      <c r="H29" s="68"/>
      <c r="I29" s="68"/>
      <c r="J29" s="99"/>
      <c r="K29" s="21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20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10" t="str">
        <f>IF(D29="","",IF(E28="ND",VLOOKUP(D29,Datenblatt!$A$2:$C$31,3,FALSE)-1,IF(E28="ND12,5",VLOOKUP(D29,Datenblatt!$A$2:$C$31,3,FALSE)-0.5,VLOOKUP(D29,Datenblatt!$A$2:$C$31,3,FALSE))))</f>
        <v/>
      </c>
      <c r="N29" s="211" t="str">
        <f t="shared" si="2"/>
        <v/>
      </c>
      <c r="O29" s="211" t="str">
        <f t="shared" si="3"/>
        <v/>
      </c>
      <c r="P29" s="186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103" t="str">
        <f>IF(D29="","",VLOOKUP(D29,Datenblatt!$A$2:$D$31,4,FALSE))</f>
        <v/>
      </c>
      <c r="R29" s="104" t="str">
        <f>IF(E29="","",VLOOKUP(E29,Datenblatt!$E$2:$G$28,2,FALSE))</f>
        <v/>
      </c>
      <c r="S29" s="105"/>
      <c r="T29" s="111">
        <f t="shared" si="5"/>
        <v>0</v>
      </c>
      <c r="U29" s="114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12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12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54">
        <f t="array" ref="X29">IF(T29=0,0,IF((AND((ROW(T29)=MATCH(TRUE,($T$1:$T$44)&gt;0,0)))),IF(W29&gt;=6,W29-6,0),IF(W29&gt;=2,2,W29)))</f>
        <v>0</v>
      </c>
      <c r="Y29" s="254">
        <f t="array" ref="Y29">IF(T28=0,0,(IF((AND((ROW(T28)=MATCH(TRUE,($T$1:$T$44)&gt;0,0)))),IF(W28&gt;=6,6,W28),IF(W28&gt;=2,W28-2,0))))</f>
        <v>0</v>
      </c>
      <c r="Z29" s="111" t="str">
        <f t="shared" si="6"/>
        <v/>
      </c>
      <c r="AA29" s="214">
        <f>IF(E28="ND",IF(ISERROR(MATCH(D29,Datenblatt!$L$2:$L$18,0)),3,2),IF(E28="ND12,5",IF(ISERROR(MATCH(D29,Datenblatt!$L$2:$L$18,0)),2.5,2),0))</f>
        <v>0</v>
      </c>
      <c r="AB29" s="214">
        <f>IF((IF(E29="ND",14-IF(D29="",0,VLOOKUP(D29,Datenblatt!$L$2:$M$30,2,FALSE)),IF(E29="ND12,5",2,0)))&lt;0,0,(IF(E29="ND",14-IF(D29="",0,VLOOKUP(D29,Datenblatt!$L$2:$M$30,2,FALSE)),IF(E29="ND12,5",2,0))))</f>
        <v>0</v>
      </c>
      <c r="AC29" s="214">
        <f t="shared" si="7"/>
        <v>0</v>
      </c>
      <c r="AD29" s="214">
        <f t="shared" si="8"/>
        <v>0</v>
      </c>
      <c r="AE29" s="214">
        <f t="shared" si="9"/>
        <v>0</v>
      </c>
      <c r="AF29" s="112">
        <f t="shared" si="10"/>
        <v>0</v>
      </c>
      <c r="AG29" s="112">
        <f t="shared" si="11"/>
        <v>0</v>
      </c>
      <c r="AH29" s="112">
        <f>IF(E29="",0,VLOOKUP(E29,Datenblatt!$E$2:$G$28,3,FALSE))</f>
        <v>0</v>
      </c>
    </row>
    <row r="30" spans="1:34" ht="13" customHeight="1">
      <c r="A30" s="89" t="str">
        <f>IF(ISERROR(VLOOKUP(C30,Datenblatt!$B$84:$B$97,1,FALSE)),"","Ft")</f>
        <v/>
      </c>
      <c r="B30" s="84">
        <f t="shared" si="0"/>
        <v>45429</v>
      </c>
      <c r="C30" s="86">
        <f t="shared" si="4"/>
        <v>45429</v>
      </c>
      <c r="D30" s="67"/>
      <c r="E30" s="67"/>
      <c r="F30" s="68"/>
      <c r="G30" s="69"/>
      <c r="H30" s="68"/>
      <c r="I30" s="68"/>
      <c r="J30" s="99"/>
      <c r="K30" s="21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20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10" t="str">
        <f>IF(D30="","",IF(E29="ND",VLOOKUP(D30,Datenblatt!$A$2:$C$31,3,FALSE)-1,IF(E29="ND12,5",VLOOKUP(D30,Datenblatt!$A$2:$C$31,3,FALSE)-0.5,VLOOKUP(D30,Datenblatt!$A$2:$C$31,3,FALSE))))</f>
        <v/>
      </c>
      <c r="N30" s="211" t="str">
        <f t="shared" si="2"/>
        <v/>
      </c>
      <c r="O30" s="211" t="str">
        <f t="shared" si="3"/>
        <v/>
      </c>
      <c r="P30" s="186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103" t="str">
        <f>IF(D30="","",VLOOKUP(D30,Datenblatt!$A$2:$D$31,4,FALSE))</f>
        <v/>
      </c>
      <c r="R30" s="104" t="str">
        <f>IF(E30="","",VLOOKUP(E30,Datenblatt!$E$2:$G$28,2,FALSE))</f>
        <v/>
      </c>
      <c r="S30" s="105"/>
      <c r="T30" s="111">
        <f t="shared" si="5"/>
        <v>0</v>
      </c>
      <c r="U30" s="114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12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12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54">
        <f t="array" ref="X30">IF(T30=0,0,IF((AND((ROW(T30)=MATCH(TRUE,($T$1:$T$44)&gt;0,0)))),IF(W30&gt;=6,W30-6,0),IF(W30&gt;=2,2,W30)))</f>
        <v>0</v>
      </c>
      <c r="Y30" s="254">
        <f t="array" ref="Y30">IF(T29=0,0,(IF((AND((ROW(T29)=MATCH(TRUE,($T$1:$T$44)&gt;0,0)))),IF(W29&gt;=6,6,W29),IF(W29&gt;=2,W29-2,0))))</f>
        <v>0</v>
      </c>
      <c r="Z30" s="111" t="str">
        <f t="shared" si="6"/>
        <v/>
      </c>
      <c r="AA30" s="214">
        <f>IF(E29="ND",IF(ISERROR(MATCH(D30,Datenblatt!$L$2:$L$18,0)),3,2),IF(E29="ND12,5",IF(ISERROR(MATCH(D30,Datenblatt!$L$2:$L$18,0)),2.5,2),0))</f>
        <v>0</v>
      </c>
      <c r="AB30" s="214">
        <f>IF((IF(E30="ND",14-IF(D30="",0,VLOOKUP(D30,Datenblatt!$L$2:$M$30,2,FALSE)),IF(E30="ND12,5",2,0)))&lt;0,0,(IF(E30="ND",14-IF(D30="",0,VLOOKUP(D30,Datenblatt!$L$2:$M$30,2,FALSE)),IF(E30="ND12,5",2,0))))</f>
        <v>0</v>
      </c>
      <c r="AC30" s="214">
        <f t="shared" si="7"/>
        <v>0</v>
      </c>
      <c r="AD30" s="214">
        <f t="shared" si="8"/>
        <v>0</v>
      </c>
      <c r="AE30" s="214">
        <f t="shared" si="9"/>
        <v>0</v>
      </c>
      <c r="AF30" s="112">
        <f t="shared" si="10"/>
        <v>0</v>
      </c>
      <c r="AG30" s="112">
        <f t="shared" si="11"/>
        <v>0</v>
      </c>
      <c r="AH30" s="112">
        <f>IF(E30="",0,VLOOKUP(E30,Datenblatt!$E$2:$G$28,3,FALSE))</f>
        <v>0</v>
      </c>
    </row>
    <row r="31" spans="1:34" ht="13" customHeight="1">
      <c r="A31" s="89" t="str">
        <f>IF(ISERROR(VLOOKUP(C31,Datenblatt!$B$84:$B$97,1,FALSE)),"","Ft")</f>
        <v/>
      </c>
      <c r="B31" s="84">
        <f t="shared" si="0"/>
        <v>45430</v>
      </c>
      <c r="C31" s="86">
        <f t="shared" si="4"/>
        <v>45430</v>
      </c>
      <c r="D31" s="67"/>
      <c r="E31" s="67"/>
      <c r="F31" s="68"/>
      <c r="G31" s="69"/>
      <c r="H31" s="68"/>
      <c r="I31" s="68"/>
      <c r="J31" s="99"/>
      <c r="K31" s="21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20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10" t="str">
        <f>IF(D31="","",IF(E30="ND",VLOOKUP(D31,Datenblatt!$A$2:$C$31,3,FALSE)-1,IF(E30="ND12,5",VLOOKUP(D31,Datenblatt!$A$2:$C$31,3,FALSE)-0.5,VLOOKUP(D31,Datenblatt!$A$2:$C$31,3,FALSE))))</f>
        <v/>
      </c>
      <c r="N31" s="211" t="str">
        <f t="shared" si="2"/>
        <v/>
      </c>
      <c r="O31" s="211" t="str">
        <f t="shared" si="3"/>
        <v/>
      </c>
      <c r="P31" s="186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103" t="str">
        <f>IF(D31="","",VLOOKUP(D31,Datenblatt!$A$2:$D$31,4,FALSE))</f>
        <v/>
      </c>
      <c r="R31" s="104" t="str">
        <f>IF(E31="","",VLOOKUP(E31,Datenblatt!$E$2:$G$28,2,FALSE))</f>
        <v/>
      </c>
      <c r="S31" s="105"/>
      <c r="T31" s="111">
        <f t="shared" si="5"/>
        <v>0</v>
      </c>
      <c r="U31" s="114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12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12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54">
        <f t="array" ref="X31">IF(T31=0,0,IF((AND((ROW(T31)=MATCH(TRUE,($T$1:$T$44)&gt;0,0)))),IF(W31&gt;=6,W31-6,0),IF(W31&gt;=2,2,W31)))</f>
        <v>0</v>
      </c>
      <c r="Y31" s="254">
        <f t="array" ref="Y31">IF(T30=0,0,(IF((AND((ROW(T30)=MATCH(TRUE,($T$1:$T$44)&gt;0,0)))),IF(W30&gt;=6,6,W30),IF(W30&gt;=2,W30-2,0))))</f>
        <v>0</v>
      </c>
      <c r="Z31" s="111" t="str">
        <f t="shared" si="6"/>
        <v/>
      </c>
      <c r="AA31" s="214">
        <f>IF(E30="ND",IF(ISERROR(MATCH(D31,Datenblatt!$L$2:$L$18,0)),3,2),IF(E30="ND12,5",IF(ISERROR(MATCH(D31,Datenblatt!$L$2:$L$18,0)),2.5,2),0))</f>
        <v>0</v>
      </c>
      <c r="AB31" s="214">
        <f>IF((IF(E31="ND",14-IF(D31="",0,VLOOKUP(D31,Datenblatt!$L$2:$M$30,2,FALSE)),IF(E31="ND12,5",2,0)))&lt;0,0,(IF(E31="ND",14-IF(D31="",0,VLOOKUP(D31,Datenblatt!$L$2:$M$30,2,FALSE)),IF(E31="ND12,5",2,0))))</f>
        <v>0</v>
      </c>
      <c r="AC31" s="214">
        <f t="shared" si="7"/>
        <v>0</v>
      </c>
      <c r="AD31" s="214">
        <f t="shared" si="8"/>
        <v>0</v>
      </c>
      <c r="AE31" s="214">
        <f t="shared" si="9"/>
        <v>0</v>
      </c>
      <c r="AF31" s="112">
        <f t="shared" si="10"/>
        <v>0</v>
      </c>
      <c r="AG31" s="112">
        <f t="shared" si="11"/>
        <v>0</v>
      </c>
      <c r="AH31" s="112">
        <f>IF(E31="",0,VLOOKUP(E31,Datenblatt!$E$2:$G$28,3,FALSE))</f>
        <v>0</v>
      </c>
    </row>
    <row r="32" spans="1:34" ht="13" customHeight="1">
      <c r="A32" s="89" t="str">
        <f>IF(ISERROR(VLOOKUP(C32,Datenblatt!$B$84:$B$97,1,FALSE)),"","Ft")</f>
        <v/>
      </c>
      <c r="B32" s="84">
        <f t="shared" si="0"/>
        <v>45431</v>
      </c>
      <c r="C32" s="86">
        <f t="shared" si="4"/>
        <v>45431</v>
      </c>
      <c r="D32" s="67"/>
      <c r="E32" s="67"/>
      <c r="F32" s="68"/>
      <c r="G32" s="69"/>
      <c r="H32" s="68"/>
      <c r="I32" s="68"/>
      <c r="J32" s="99"/>
      <c r="K32" s="21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20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10" t="str">
        <f>IF(D32="","",IF(E31="ND",VLOOKUP(D32,Datenblatt!$A$2:$C$31,3,FALSE)-1,IF(E31="ND12,5",VLOOKUP(D32,Datenblatt!$A$2:$C$31,3,FALSE)-0.5,VLOOKUP(D32,Datenblatt!$A$2:$C$31,3,FALSE))))</f>
        <v/>
      </c>
      <c r="N32" s="211" t="str">
        <f t="shared" si="2"/>
        <v/>
      </c>
      <c r="O32" s="211">
        <f t="shared" si="3"/>
        <v>0</v>
      </c>
      <c r="P32" s="186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103" t="str">
        <f>IF(D32="","",VLOOKUP(D32,Datenblatt!$A$2:$D$31,4,FALSE))</f>
        <v/>
      </c>
      <c r="R32" s="104" t="str">
        <f>IF(E32="","",VLOOKUP(E32,Datenblatt!$E$2:$G$28,2,FALSE))</f>
        <v/>
      </c>
      <c r="S32" s="105"/>
      <c r="T32" s="111">
        <f t="shared" si="5"/>
        <v>0</v>
      </c>
      <c r="U32" s="114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12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12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54">
        <f t="array" ref="X32">IF(T32=0,0,IF((AND((ROW(T32)=MATCH(TRUE,($T$1:$T$44)&gt;0,0)))),IF(W32&gt;=6,W32-6,0),IF(W32&gt;=2,2,W32)))</f>
        <v>0</v>
      </c>
      <c r="Y32" s="254">
        <f t="array" ref="Y32">IF(T31=0,0,(IF((AND((ROW(T31)=MATCH(TRUE,($T$1:$T$44)&gt;0,0)))),IF(W31&gt;=6,6,W31),IF(W31&gt;=2,W31-2,0))))</f>
        <v>0</v>
      </c>
      <c r="Z32" s="111" t="str">
        <f t="shared" si="6"/>
        <v/>
      </c>
      <c r="AA32" s="214">
        <f>IF(E31="ND",IF(ISERROR(MATCH(D32,Datenblatt!$L$2:$L$18,0)),3,2),IF(E31="ND12,5",IF(ISERROR(MATCH(D32,Datenblatt!$L$2:$L$18,0)),2.5,2),0))</f>
        <v>0</v>
      </c>
      <c r="AB32" s="214">
        <f>IF((IF(E32="ND",14-IF(D32="",0,VLOOKUP(D32,Datenblatt!$L$2:$M$30,2,FALSE)),IF(E32="ND12,5",2,0)))&lt;0,0,(IF(E32="ND",14-IF(D32="",0,VLOOKUP(D32,Datenblatt!$L$2:$M$30,2,FALSE)),IF(E32="ND12,5",2,0))))</f>
        <v>0</v>
      </c>
      <c r="AC32" s="214">
        <f t="shared" si="7"/>
        <v>0</v>
      </c>
      <c r="AD32" s="214">
        <f t="shared" si="8"/>
        <v>0</v>
      </c>
      <c r="AE32" s="214">
        <f t="shared" si="9"/>
        <v>0</v>
      </c>
      <c r="AF32" s="112">
        <f t="shared" si="10"/>
        <v>0</v>
      </c>
      <c r="AG32" s="112">
        <f t="shared" si="11"/>
        <v>0</v>
      </c>
      <c r="AH32" s="112">
        <f>IF(E32="",0,VLOOKUP(E32,Datenblatt!$E$2:$G$28,3,FALSE))</f>
        <v>0</v>
      </c>
    </row>
    <row r="33" spans="1:34" ht="13" customHeight="1">
      <c r="A33" s="89" t="str">
        <f>IF(ISERROR(VLOOKUP(C33,Datenblatt!$B$84:$B$97,1,FALSE)),"","Ft")</f>
        <v>Ft</v>
      </c>
      <c r="B33" s="84">
        <f t="shared" si="0"/>
        <v>45432</v>
      </c>
      <c r="C33" s="86">
        <f t="shared" si="4"/>
        <v>45432</v>
      </c>
      <c r="D33" s="67"/>
      <c r="E33" s="67"/>
      <c r="F33" s="68"/>
      <c r="G33" s="69"/>
      <c r="H33" s="68"/>
      <c r="I33" s="68"/>
      <c r="J33" s="99"/>
      <c r="K33" s="21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20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10" t="str">
        <f>IF(D33="","",IF(E32="ND",VLOOKUP(D33,Datenblatt!$A$2:$C$31,3,FALSE)-1,IF(E32="ND12,5",VLOOKUP(D33,Datenblatt!$A$2:$C$31,3,FALSE)-0.5,VLOOKUP(D33,Datenblatt!$A$2:$C$31,3,FALSE))))</f>
        <v/>
      </c>
      <c r="N33" s="211" t="str">
        <f t="shared" si="2"/>
        <v/>
      </c>
      <c r="O33" s="211">
        <f t="shared" si="3"/>
        <v>0</v>
      </c>
      <c r="P33" s="186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103" t="str">
        <f>IF(D33="","",VLOOKUP(D33,Datenblatt!$A$2:$D$31,4,FALSE))</f>
        <v/>
      </c>
      <c r="R33" s="104" t="str">
        <f>IF(E33="","",VLOOKUP(E33,Datenblatt!$E$2:$G$28,2,FALSE))</f>
        <v/>
      </c>
      <c r="S33" s="105"/>
      <c r="T33" s="111">
        <f t="shared" si="5"/>
        <v>0</v>
      </c>
      <c r="U33" s="114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12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12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54">
        <f t="array" ref="X33">IF(T33=0,0,IF((AND((ROW(T33)=MATCH(TRUE,($T$1:$T$44)&gt;0,0)))),IF(W33&gt;=6,W33-6,0),IF(W33&gt;=2,2,W33)))</f>
        <v>0</v>
      </c>
      <c r="Y33" s="254">
        <f t="array" ref="Y33">IF(T32=0,0,(IF((AND((ROW(T32)=MATCH(TRUE,($T$1:$T$44)&gt;0,0)))),IF(W32&gt;=6,6,W32),IF(W32&gt;=2,W32-2,0))))</f>
        <v>0</v>
      </c>
      <c r="Z33" s="111" t="str">
        <f t="shared" si="6"/>
        <v/>
      </c>
      <c r="AA33" s="214">
        <f>IF(E32="ND",IF(ISERROR(MATCH(D33,Datenblatt!$L$2:$L$18,0)),3,2),IF(E32="ND12,5",IF(ISERROR(MATCH(D33,Datenblatt!$L$2:$L$18,0)),2.5,2),0))</f>
        <v>0</v>
      </c>
      <c r="AB33" s="214">
        <f>IF((IF(E33="ND",14-IF(D33="",0,VLOOKUP(D33,Datenblatt!$L$2:$M$30,2,FALSE)),IF(E33="ND12,5",2,0)))&lt;0,0,(IF(E33="ND",14-IF(D33="",0,VLOOKUP(D33,Datenblatt!$L$2:$M$30,2,FALSE)),IF(E33="ND12,5",2,0))))</f>
        <v>0</v>
      </c>
      <c r="AC33" s="214">
        <f t="shared" si="7"/>
        <v>0</v>
      </c>
      <c r="AD33" s="214">
        <f t="shared" si="8"/>
        <v>0</v>
      </c>
      <c r="AE33" s="214">
        <f t="shared" si="9"/>
        <v>0</v>
      </c>
      <c r="AF33" s="112">
        <f t="shared" si="10"/>
        <v>0</v>
      </c>
      <c r="AG33" s="112">
        <f t="shared" si="11"/>
        <v>0</v>
      </c>
      <c r="AH33" s="112">
        <f>IF(E33="",0,VLOOKUP(E33,Datenblatt!$E$2:$G$28,3,FALSE))</f>
        <v>0</v>
      </c>
    </row>
    <row r="34" spans="1:34" ht="13" customHeight="1">
      <c r="A34" s="89" t="str">
        <f>IF(ISERROR(VLOOKUP(C34,Datenblatt!$B$84:$B$97,1,FALSE)),"","Ft")</f>
        <v/>
      </c>
      <c r="B34" s="84">
        <f t="shared" si="0"/>
        <v>45433</v>
      </c>
      <c r="C34" s="86">
        <f t="shared" si="4"/>
        <v>45433</v>
      </c>
      <c r="D34" s="67"/>
      <c r="E34" s="67"/>
      <c r="F34" s="68"/>
      <c r="G34" s="69"/>
      <c r="H34" s="68"/>
      <c r="I34" s="68"/>
      <c r="J34" s="99"/>
      <c r="K34" s="21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20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10" t="str">
        <f>IF(D34="","",IF(E33="ND",VLOOKUP(D34,Datenblatt!$A$2:$C$31,3,FALSE)-1,IF(E33="ND12,5",VLOOKUP(D34,Datenblatt!$A$2:$C$31,3,FALSE)-0.5,VLOOKUP(D34,Datenblatt!$A$2:$C$31,3,FALSE))))</f>
        <v/>
      </c>
      <c r="N34" s="211" t="str">
        <f t="shared" si="2"/>
        <v/>
      </c>
      <c r="O34" s="211" t="str">
        <f t="shared" si="3"/>
        <v/>
      </c>
      <c r="P34" s="186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103" t="str">
        <f>IF(D34="","",VLOOKUP(D34,Datenblatt!$A$2:$D$31,4,FALSE))</f>
        <v/>
      </c>
      <c r="R34" s="104" t="str">
        <f>IF(E34="","",VLOOKUP(E34,Datenblatt!$E$2:$G$28,2,FALSE))</f>
        <v/>
      </c>
      <c r="S34" s="105"/>
      <c r="T34" s="111">
        <f t="shared" si="5"/>
        <v>0</v>
      </c>
      <c r="U34" s="114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12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12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54">
        <f t="array" ref="X34">IF(T34=0,0,IF((AND((ROW(T34)=MATCH(TRUE,($T$1:$T$44)&gt;0,0)))),IF(W34&gt;=6,W34-6,0),IF(W34&gt;=2,2,W34)))</f>
        <v>0</v>
      </c>
      <c r="Y34" s="254">
        <f t="array" ref="Y34">IF(T33=0,0,(IF((AND((ROW(T33)=MATCH(TRUE,($T$1:$T$44)&gt;0,0)))),IF(W33&gt;=6,6,W33),IF(W33&gt;=2,W33-2,0))))</f>
        <v>0</v>
      </c>
      <c r="Z34" s="111" t="str">
        <f t="shared" si="6"/>
        <v/>
      </c>
      <c r="AA34" s="214">
        <f>IF(E33="ND",IF(ISERROR(MATCH(D34,Datenblatt!$L$2:$L$18,0)),3,2),IF(E33="ND12,5",IF(ISERROR(MATCH(D34,Datenblatt!$L$2:$L$18,0)),2.5,2),0))</f>
        <v>0</v>
      </c>
      <c r="AB34" s="214">
        <f>IF((IF(E34="ND",14-IF(D34="",0,VLOOKUP(D34,Datenblatt!$L$2:$M$30,2,FALSE)),IF(E34="ND12,5",2,0)))&lt;0,0,(IF(E34="ND",14-IF(D34="",0,VLOOKUP(D34,Datenblatt!$L$2:$M$30,2,FALSE)),IF(E34="ND12,5",2,0))))</f>
        <v>0</v>
      </c>
      <c r="AC34" s="214">
        <f t="shared" si="7"/>
        <v>0</v>
      </c>
      <c r="AD34" s="214">
        <f t="shared" si="8"/>
        <v>0</v>
      </c>
      <c r="AE34" s="214">
        <f t="shared" si="9"/>
        <v>0</v>
      </c>
      <c r="AF34" s="112">
        <f t="shared" si="10"/>
        <v>0</v>
      </c>
      <c r="AG34" s="112">
        <f t="shared" si="11"/>
        <v>0</v>
      </c>
      <c r="AH34" s="112">
        <f>IF(E34="",0,VLOOKUP(E34,Datenblatt!$E$2:$G$28,3,FALSE))</f>
        <v>0</v>
      </c>
    </row>
    <row r="35" spans="1:34" ht="13" customHeight="1">
      <c r="A35" s="89" t="str">
        <f>IF(ISERROR(VLOOKUP(C35,Datenblatt!$B$84:$B$97,1,FALSE)),"","Ft")</f>
        <v/>
      </c>
      <c r="B35" s="84">
        <f t="shared" si="0"/>
        <v>45434</v>
      </c>
      <c r="C35" s="86">
        <f t="shared" si="4"/>
        <v>45434</v>
      </c>
      <c r="D35" s="67"/>
      <c r="E35" s="67"/>
      <c r="F35" s="68"/>
      <c r="G35" s="69"/>
      <c r="H35" s="68"/>
      <c r="I35" s="68"/>
      <c r="J35" s="99"/>
      <c r="K35" s="21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20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10" t="str">
        <f>IF(D35="","",IF(E34="ND",VLOOKUP(D35,Datenblatt!$A$2:$C$31,3,FALSE)-1,IF(E34="ND12,5",VLOOKUP(D35,Datenblatt!$A$2:$C$31,3,FALSE)-0.5,VLOOKUP(D35,Datenblatt!$A$2:$C$31,3,FALSE))))</f>
        <v/>
      </c>
      <c r="N35" s="211" t="str">
        <f t="shared" si="2"/>
        <v/>
      </c>
      <c r="O35" s="211" t="str">
        <f t="shared" si="3"/>
        <v/>
      </c>
      <c r="P35" s="186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103" t="str">
        <f>IF(D35="","",VLOOKUP(D35,Datenblatt!$A$2:$D$31,4,FALSE))</f>
        <v/>
      </c>
      <c r="R35" s="104" t="str">
        <f>IF(E35="","",VLOOKUP(E35,Datenblatt!$E$2:$G$28,2,FALSE))</f>
        <v/>
      </c>
      <c r="S35" s="105"/>
      <c r="T35" s="111">
        <f t="shared" si="5"/>
        <v>0</v>
      </c>
      <c r="U35" s="114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12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12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54">
        <f t="array" ref="X35">IF(T35=0,0,IF((AND((ROW(T35)=MATCH(TRUE,($T$1:$T$44)&gt;0,0)))),IF(W35&gt;=6,W35-6,0),IF(W35&gt;=2,2,W35)))</f>
        <v>0</v>
      </c>
      <c r="Y35" s="254">
        <f t="array" ref="Y35">IF(T34=0,0,(IF((AND((ROW(T34)=MATCH(TRUE,($T$1:$T$44)&gt;0,0)))),IF(W34&gt;=6,6,W34),IF(W34&gt;=2,W34-2,0))))</f>
        <v>0</v>
      </c>
      <c r="Z35" s="111" t="str">
        <f t="shared" si="6"/>
        <v/>
      </c>
      <c r="AA35" s="214">
        <f>IF(E34="ND",IF(ISERROR(MATCH(D35,Datenblatt!$L$2:$L$18,0)),3,2),IF(E34="ND12,5",IF(ISERROR(MATCH(D35,Datenblatt!$L$2:$L$18,0)),2.5,2),0))</f>
        <v>0</v>
      </c>
      <c r="AB35" s="214">
        <f>IF((IF(E35="ND",14-IF(D35="",0,VLOOKUP(D35,Datenblatt!$L$2:$M$30,2,FALSE)),IF(E35="ND12,5",2,0)))&lt;0,0,(IF(E35="ND",14-IF(D35="",0,VLOOKUP(D35,Datenblatt!$L$2:$M$30,2,FALSE)),IF(E35="ND12,5",2,0))))</f>
        <v>0</v>
      </c>
      <c r="AC35" s="214">
        <f t="shared" si="7"/>
        <v>0</v>
      </c>
      <c r="AD35" s="214">
        <f t="shared" si="8"/>
        <v>0</v>
      </c>
      <c r="AE35" s="214">
        <f t="shared" si="9"/>
        <v>0</v>
      </c>
      <c r="AF35" s="112">
        <f t="shared" si="10"/>
        <v>0</v>
      </c>
      <c r="AG35" s="112">
        <f t="shared" si="11"/>
        <v>0</v>
      </c>
      <c r="AH35" s="112">
        <f>IF(E35="",0,VLOOKUP(E35,Datenblatt!$E$2:$G$28,3,FALSE))</f>
        <v>0</v>
      </c>
    </row>
    <row r="36" spans="1:34" ht="13" customHeight="1">
      <c r="A36" s="89" t="str">
        <f>IF(ISERROR(VLOOKUP(C36,Datenblatt!$B$84:$B$97,1,FALSE)),"","Ft")</f>
        <v/>
      </c>
      <c r="B36" s="84">
        <f t="shared" si="0"/>
        <v>45435</v>
      </c>
      <c r="C36" s="86">
        <f t="shared" si="4"/>
        <v>45435</v>
      </c>
      <c r="D36" s="67"/>
      <c r="E36" s="67"/>
      <c r="F36" s="68"/>
      <c r="G36" s="69"/>
      <c r="H36" s="68"/>
      <c r="I36" s="68"/>
      <c r="J36" s="99"/>
      <c r="K36" s="21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20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10" t="str">
        <f>IF(D36="","",IF(E35="ND",VLOOKUP(D36,Datenblatt!$A$2:$C$31,3,FALSE)-1,IF(E35="ND12,5",VLOOKUP(D36,Datenblatt!$A$2:$C$31,3,FALSE)-0.5,VLOOKUP(D36,Datenblatt!$A$2:$C$31,3,FALSE))))</f>
        <v/>
      </c>
      <c r="N36" s="211" t="str">
        <f t="shared" si="2"/>
        <v/>
      </c>
      <c r="O36" s="211" t="str">
        <f t="shared" si="3"/>
        <v/>
      </c>
      <c r="P36" s="186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103" t="str">
        <f>IF(D36="","",VLOOKUP(D36,Datenblatt!$A$2:$D$31,4,FALSE))</f>
        <v/>
      </c>
      <c r="R36" s="104" t="str">
        <f>IF(E36="","",VLOOKUP(E36,Datenblatt!$E$2:$G$28,2,FALSE))</f>
        <v/>
      </c>
      <c r="S36" s="105"/>
      <c r="T36" s="111">
        <f t="shared" si="5"/>
        <v>0</v>
      </c>
      <c r="U36" s="114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12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12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54">
        <f t="array" ref="X36">IF(T36=0,0,IF((AND((ROW(T36)=MATCH(TRUE,($T$1:$T$44)&gt;0,0)))),IF(W36&gt;=6,W36-6,0),IF(W36&gt;=2,2,W36)))</f>
        <v>0</v>
      </c>
      <c r="Y36" s="254">
        <f t="array" ref="Y36">IF(T35=0,0,(IF((AND((ROW(T35)=MATCH(TRUE,($T$1:$T$44)&gt;0,0)))),IF(W35&gt;=6,6,W35),IF(W35&gt;=2,W35-2,0))))</f>
        <v>0</v>
      </c>
      <c r="Z36" s="111" t="str">
        <f t="shared" si="6"/>
        <v/>
      </c>
      <c r="AA36" s="214">
        <f>IF(E35="ND",IF(ISERROR(MATCH(D36,Datenblatt!$L$2:$L$18,0)),3,2),IF(E35="ND12,5",IF(ISERROR(MATCH(D36,Datenblatt!$L$2:$L$18,0)),2.5,2),0))</f>
        <v>0</v>
      </c>
      <c r="AB36" s="214">
        <f>IF((IF(E36="ND",14-IF(D36="",0,VLOOKUP(D36,Datenblatt!$L$2:$M$30,2,FALSE)),IF(E36="ND12,5",2,0)))&lt;0,0,(IF(E36="ND",14-IF(D36="",0,VLOOKUP(D36,Datenblatt!$L$2:$M$30,2,FALSE)),IF(E36="ND12,5",2,0))))</f>
        <v>0</v>
      </c>
      <c r="AC36" s="214">
        <f t="shared" si="7"/>
        <v>0</v>
      </c>
      <c r="AD36" s="214">
        <f t="shared" si="8"/>
        <v>0</v>
      </c>
      <c r="AE36" s="214">
        <f t="shared" si="9"/>
        <v>0</v>
      </c>
      <c r="AF36" s="112">
        <f t="shared" si="10"/>
        <v>0</v>
      </c>
      <c r="AG36" s="112">
        <f t="shared" si="11"/>
        <v>0</v>
      </c>
      <c r="AH36" s="112">
        <f>IF(E36="",0,VLOOKUP(E36,Datenblatt!$E$2:$G$28,3,FALSE))</f>
        <v>0</v>
      </c>
    </row>
    <row r="37" spans="1:34" ht="13" customHeight="1">
      <c r="A37" s="89" t="str">
        <f>IF(ISERROR(VLOOKUP(C37,Datenblatt!$B$84:$B$97,1,FALSE)),"","Ft")</f>
        <v/>
      </c>
      <c r="B37" s="84">
        <f t="shared" si="0"/>
        <v>45436</v>
      </c>
      <c r="C37" s="86">
        <f t="shared" si="4"/>
        <v>45436</v>
      </c>
      <c r="D37" s="67"/>
      <c r="E37" s="67"/>
      <c r="F37" s="68"/>
      <c r="G37" s="69"/>
      <c r="H37" s="68"/>
      <c r="I37" s="68"/>
      <c r="J37" s="99"/>
      <c r="K37" s="21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20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10" t="str">
        <f>IF(D37="","",IF(E36="ND",VLOOKUP(D37,Datenblatt!$A$2:$C$31,3,FALSE)-1,IF(E36="ND12,5",VLOOKUP(D37,Datenblatt!$A$2:$C$31,3,FALSE)-0.5,VLOOKUP(D37,Datenblatt!$A$2:$C$31,3,FALSE))))</f>
        <v/>
      </c>
      <c r="N37" s="211" t="str">
        <f t="shared" si="2"/>
        <v/>
      </c>
      <c r="O37" s="211" t="str">
        <f t="shared" si="3"/>
        <v/>
      </c>
      <c r="P37" s="186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103" t="str">
        <f>IF(D37="","",VLOOKUP(D37,Datenblatt!$A$2:$D$31,4,FALSE))</f>
        <v/>
      </c>
      <c r="R37" s="104" t="str">
        <f>IF(E37="","",VLOOKUP(E37,Datenblatt!$E$2:$G$28,2,FALSE))</f>
        <v/>
      </c>
      <c r="S37" s="105"/>
      <c r="T37" s="111">
        <f t="shared" si="5"/>
        <v>0</v>
      </c>
      <c r="U37" s="114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12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12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54">
        <f t="array" ref="X37">IF(T37=0,0,IF((AND((ROW(T37)=MATCH(TRUE,($T$1:$T$44)&gt;0,0)))),IF(W37&gt;=6,W37-6,0),IF(W37&gt;=2,2,W37)))</f>
        <v>0</v>
      </c>
      <c r="Y37" s="254">
        <f t="array" ref="Y37">IF(T36=0,0,(IF((AND((ROW(T36)=MATCH(TRUE,($T$1:$T$44)&gt;0,0)))),IF(W36&gt;=6,6,W36),IF(W36&gt;=2,W36-2,0))))</f>
        <v>0</v>
      </c>
      <c r="Z37" s="111" t="str">
        <f t="shared" si="6"/>
        <v/>
      </c>
      <c r="AA37" s="214">
        <f>IF(E36="ND",IF(ISERROR(MATCH(D37,Datenblatt!$L$2:$L$18,0)),3,2),IF(E36="ND12,5",IF(ISERROR(MATCH(D37,Datenblatt!$L$2:$L$18,0)),2.5,2),0))</f>
        <v>0</v>
      </c>
      <c r="AB37" s="214">
        <f>IF((IF(E37="ND",14-IF(D37="",0,VLOOKUP(D37,Datenblatt!$L$2:$M$30,2,FALSE)),IF(E37="ND12,5",2,0)))&lt;0,0,(IF(E37="ND",14-IF(D37="",0,VLOOKUP(D37,Datenblatt!$L$2:$M$30,2,FALSE)),IF(E37="ND12,5",2,0))))</f>
        <v>0</v>
      </c>
      <c r="AC37" s="214">
        <f t="shared" si="7"/>
        <v>0</v>
      </c>
      <c r="AD37" s="214">
        <f t="shared" si="8"/>
        <v>0</v>
      </c>
      <c r="AE37" s="214">
        <f t="shared" si="9"/>
        <v>0</v>
      </c>
      <c r="AF37" s="112">
        <f t="shared" si="10"/>
        <v>0</v>
      </c>
      <c r="AG37" s="112">
        <f t="shared" si="11"/>
        <v>0</v>
      </c>
      <c r="AH37" s="112">
        <f>IF(E37="",0,VLOOKUP(E37,Datenblatt!$E$2:$G$28,3,FALSE))</f>
        <v>0</v>
      </c>
    </row>
    <row r="38" spans="1:34" ht="13" customHeight="1">
      <c r="A38" s="89" t="str">
        <f>IF(ISERROR(VLOOKUP(C38,Datenblatt!$B$84:$B$97,1,FALSE)),"","Ft")</f>
        <v/>
      </c>
      <c r="B38" s="84">
        <f t="shared" si="0"/>
        <v>45437</v>
      </c>
      <c r="C38" s="86">
        <f t="shared" si="4"/>
        <v>45437</v>
      </c>
      <c r="D38" s="67"/>
      <c r="E38" s="67"/>
      <c r="F38" s="68"/>
      <c r="G38" s="69"/>
      <c r="H38" s="68"/>
      <c r="I38" s="68"/>
      <c r="J38" s="99"/>
      <c r="K38" s="21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20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10" t="str">
        <f>IF(D38="","",IF(E37="ND",VLOOKUP(D38,Datenblatt!$A$2:$C$31,3,FALSE)-1,IF(E37="ND12,5",VLOOKUP(D38,Datenblatt!$A$2:$C$31,3,FALSE)-0.5,VLOOKUP(D38,Datenblatt!$A$2:$C$31,3,FALSE))))</f>
        <v/>
      </c>
      <c r="N38" s="211" t="str">
        <f t="shared" si="2"/>
        <v/>
      </c>
      <c r="O38" s="211" t="str">
        <f t="shared" si="3"/>
        <v/>
      </c>
      <c r="P38" s="186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103" t="str">
        <f>IF(D38="","",VLOOKUP(D38,Datenblatt!$A$2:$D$31,4,FALSE))</f>
        <v/>
      </c>
      <c r="R38" s="104" t="str">
        <f>IF(E38="","",VLOOKUP(E38,Datenblatt!$E$2:$G$28,2,FALSE))</f>
        <v/>
      </c>
      <c r="S38" s="105"/>
      <c r="T38" s="111">
        <f t="shared" si="5"/>
        <v>0</v>
      </c>
      <c r="U38" s="114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12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12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54">
        <f t="array" ref="X38">IF(T38=0,0,IF((AND((ROW(T38)=MATCH(TRUE,($T$1:$T$44)&gt;0,0)))),IF(W38&gt;=6,W38-6,0),IF(W38&gt;=2,2,W38)))</f>
        <v>0</v>
      </c>
      <c r="Y38" s="254">
        <f t="array" ref="Y38">IF(T37=0,0,(IF((AND((ROW(T37)=MATCH(TRUE,($T$1:$T$44)&gt;0,0)))),IF(W37&gt;=6,6,W37),IF(W37&gt;=2,W37-2,0))))</f>
        <v>0</v>
      </c>
      <c r="Z38" s="111" t="str">
        <f t="shared" si="6"/>
        <v/>
      </c>
      <c r="AA38" s="214">
        <f>IF(E37="ND",IF(ISERROR(MATCH(D38,Datenblatt!$L$2:$L$18,0)),3,2),IF(E37="ND12,5",IF(ISERROR(MATCH(D38,Datenblatt!$L$2:$L$18,0)),2.5,2),0))</f>
        <v>0</v>
      </c>
      <c r="AB38" s="214">
        <f>IF((IF(E38="ND",14-IF(D38="",0,VLOOKUP(D38,Datenblatt!$L$2:$M$30,2,FALSE)),IF(E38="ND12,5",2,0)))&lt;0,0,(IF(E38="ND",14-IF(D38="",0,VLOOKUP(D38,Datenblatt!$L$2:$M$30,2,FALSE)),IF(E38="ND12,5",2,0))))</f>
        <v>0</v>
      </c>
      <c r="AC38" s="214">
        <f t="shared" si="7"/>
        <v>0</v>
      </c>
      <c r="AD38" s="214">
        <f t="shared" si="8"/>
        <v>0</v>
      </c>
      <c r="AE38" s="214">
        <f t="shared" si="9"/>
        <v>0</v>
      </c>
      <c r="AF38" s="112">
        <f t="shared" si="10"/>
        <v>0</v>
      </c>
      <c r="AG38" s="112">
        <f t="shared" si="11"/>
        <v>0</v>
      </c>
      <c r="AH38" s="112">
        <f>IF(E38="",0,VLOOKUP(E38,Datenblatt!$E$2:$G$28,3,FALSE))</f>
        <v>0</v>
      </c>
    </row>
    <row r="39" spans="1:34" ht="13" customHeight="1">
      <c r="A39" s="89" t="str">
        <f>IF(ISERROR(VLOOKUP(C39,Datenblatt!$B$84:$B$97,1,FALSE)),"","Ft")</f>
        <v/>
      </c>
      <c r="B39" s="84">
        <f t="shared" si="0"/>
        <v>45438</v>
      </c>
      <c r="C39" s="86">
        <f t="shared" si="4"/>
        <v>45438</v>
      </c>
      <c r="D39" s="67"/>
      <c r="E39" s="67"/>
      <c r="F39" s="68"/>
      <c r="G39" s="69"/>
      <c r="H39" s="68"/>
      <c r="I39" s="68"/>
      <c r="J39" s="99"/>
      <c r="K39" s="21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20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10" t="str">
        <f>IF(D39="","",IF(E38="ND",VLOOKUP(D39,Datenblatt!$A$2:$C$31,3,FALSE)-1,IF(E38="ND12,5",VLOOKUP(D39,Datenblatt!$A$2:$C$31,3,FALSE)-0.5,VLOOKUP(D39,Datenblatt!$A$2:$C$31,3,FALSE))))</f>
        <v/>
      </c>
      <c r="N39" s="211" t="str">
        <f t="shared" si="2"/>
        <v/>
      </c>
      <c r="O39" s="211">
        <f t="shared" si="3"/>
        <v>0</v>
      </c>
      <c r="P39" s="186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103" t="str">
        <f>IF(D39="","",VLOOKUP(D39,Datenblatt!$A$2:$D$31,4,FALSE))</f>
        <v/>
      </c>
      <c r="R39" s="104" t="str">
        <f>IF(E39="","",VLOOKUP(E39,Datenblatt!$E$2:$G$28,2,FALSE))</f>
        <v/>
      </c>
      <c r="S39" s="105"/>
      <c r="T39" s="111">
        <f t="shared" si="5"/>
        <v>0</v>
      </c>
      <c r="U39" s="114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12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12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54">
        <f t="array" ref="X39">IF(T39=0,0,IF((AND((ROW(T39)=MATCH(TRUE,($T$1:$T$44)&gt;0,0)))),IF(W39&gt;=6,W39-6,0),IF(W39&gt;=2,2,W39)))</f>
        <v>0</v>
      </c>
      <c r="Y39" s="254">
        <f t="array" ref="Y39">IF(T38=0,0,(IF((AND((ROW(T38)=MATCH(TRUE,($T$1:$T$44)&gt;0,0)))),IF(W38&gt;=6,6,W38),IF(W38&gt;=2,W38-2,0))))</f>
        <v>0</v>
      </c>
      <c r="Z39" s="111" t="str">
        <f t="shared" si="6"/>
        <v/>
      </c>
      <c r="AA39" s="214">
        <f>IF(E38="ND",IF(ISERROR(MATCH(D39,Datenblatt!$L$2:$L$18,0)),3,2),IF(E38="ND12,5",IF(ISERROR(MATCH(D39,Datenblatt!$L$2:$L$18,0)),2.5,2),0))</f>
        <v>0</v>
      </c>
      <c r="AB39" s="214">
        <f>IF((IF(E39="ND",14-IF(D39="",0,VLOOKUP(D39,Datenblatt!$L$2:$M$30,2,FALSE)),IF(E39="ND12,5",2,0)))&lt;0,0,(IF(E39="ND",14-IF(D39="",0,VLOOKUP(D39,Datenblatt!$L$2:$M$30,2,FALSE)),IF(E39="ND12,5",2,0))))</f>
        <v>0</v>
      </c>
      <c r="AC39" s="214">
        <f t="shared" si="7"/>
        <v>0</v>
      </c>
      <c r="AD39" s="214">
        <f t="shared" si="8"/>
        <v>0</v>
      </c>
      <c r="AE39" s="214">
        <f t="shared" si="9"/>
        <v>0</v>
      </c>
      <c r="AF39" s="112">
        <f t="shared" si="10"/>
        <v>0</v>
      </c>
      <c r="AG39" s="112">
        <f t="shared" si="11"/>
        <v>0</v>
      </c>
      <c r="AH39" s="112">
        <f>IF(E39="",0,VLOOKUP(E39,Datenblatt!$E$2:$G$28,3,FALSE))</f>
        <v>0</v>
      </c>
    </row>
    <row r="40" spans="1:34" ht="13" customHeight="1">
      <c r="A40" s="89" t="str">
        <f>IF(ISERROR(VLOOKUP(C40,Datenblatt!$B$84:$B$97,1,FALSE)),"","Ft")</f>
        <v/>
      </c>
      <c r="B40" s="84">
        <f t="shared" si="0"/>
        <v>45439</v>
      </c>
      <c r="C40" s="86">
        <f t="shared" si="4"/>
        <v>45439</v>
      </c>
      <c r="D40" s="67"/>
      <c r="E40" s="67"/>
      <c r="F40" s="68"/>
      <c r="G40" s="69"/>
      <c r="H40" s="68"/>
      <c r="I40" s="68"/>
      <c r="J40" s="99"/>
      <c r="K40" s="21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20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10" t="str">
        <f>IF(D40="","",IF(E39="ND",VLOOKUP(D40,Datenblatt!$A$2:$C$31,3,FALSE)-1,IF(E39="ND12,5",VLOOKUP(D40,Datenblatt!$A$2:$C$31,3,FALSE)-0.5,VLOOKUP(D40,Datenblatt!$A$2:$C$31,3,FALSE))))</f>
        <v/>
      </c>
      <c r="N40" s="211" t="str">
        <f t="shared" si="2"/>
        <v/>
      </c>
      <c r="O40" s="211" t="str">
        <f t="shared" si="3"/>
        <v/>
      </c>
      <c r="P40" s="186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103" t="str">
        <f>IF(D40="","",VLOOKUP(D40,Datenblatt!$A$2:$D$31,4,FALSE))</f>
        <v/>
      </c>
      <c r="R40" s="104" t="str">
        <f>IF(E40="","",VLOOKUP(E40,Datenblatt!$E$2:$G$28,2,FALSE))</f>
        <v/>
      </c>
      <c r="S40" s="106"/>
      <c r="T40" s="111">
        <f t="shared" si="5"/>
        <v>0</v>
      </c>
      <c r="U40" s="114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12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12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54">
        <f t="array" ref="X40">IF(T40=0,0,IF((AND((ROW(T40)=MATCH(TRUE,($T$1:$T$44)&gt;0,0)))),IF(W40&gt;=6,W40-6,0),IF(W40&gt;=2,2,W40)))</f>
        <v>0</v>
      </c>
      <c r="Y40" s="254">
        <f t="array" ref="Y40">IF(T39=0,0,(IF((AND((ROW(T39)=MATCH(TRUE,($T$1:$T$44)&gt;0,0)))),IF(W39&gt;=6,6,W39),IF(W39&gt;=2,W39-2,0))))</f>
        <v>0</v>
      </c>
      <c r="Z40" s="111" t="str">
        <f t="shared" si="6"/>
        <v/>
      </c>
      <c r="AA40" s="214">
        <f>IF(E39="ND",IF(ISERROR(MATCH(D40,Datenblatt!$L$2:$L$18,0)),3,2),IF(E39="ND12,5",IF(ISERROR(MATCH(D40,Datenblatt!$L$2:$L$18,0)),2.5,2),0))</f>
        <v>0</v>
      </c>
      <c r="AB40" s="214">
        <f>IF((IF(E40="ND",14-IF(D40="",0,VLOOKUP(D40,Datenblatt!$L$2:$M$30,2,FALSE)),IF(E40="ND12,5",2,0)))&lt;0,0,(IF(E40="ND",14-IF(D40="",0,VLOOKUP(D40,Datenblatt!$L$2:$M$30,2,FALSE)),IF(E40="ND12,5",2,0))))</f>
        <v>0</v>
      </c>
      <c r="AC40" s="214">
        <f t="shared" si="7"/>
        <v>0</v>
      </c>
      <c r="AD40" s="214">
        <f t="shared" si="8"/>
        <v>0</v>
      </c>
      <c r="AE40" s="214">
        <f t="shared" si="9"/>
        <v>0</v>
      </c>
      <c r="AF40" s="112">
        <f t="shared" si="10"/>
        <v>0</v>
      </c>
      <c r="AG40" s="112">
        <f t="shared" si="11"/>
        <v>0</v>
      </c>
      <c r="AH40" s="112">
        <f>IF(E40="",0,VLOOKUP(E40,Datenblatt!$E$2:$G$28,3,FALSE))</f>
        <v>0</v>
      </c>
    </row>
    <row r="41" spans="1:34" ht="13" customHeight="1">
      <c r="A41" s="89" t="str">
        <f>IF(ISERROR(VLOOKUP(C41,Datenblatt!$B$84:$B$97,1,FALSE)),"","Ft")</f>
        <v/>
      </c>
      <c r="B41" s="84">
        <f t="shared" si="0"/>
        <v>45440</v>
      </c>
      <c r="C41" s="86">
        <f t="shared" si="4"/>
        <v>45440</v>
      </c>
      <c r="D41" s="67"/>
      <c r="E41" s="67"/>
      <c r="F41" s="68"/>
      <c r="G41" s="69"/>
      <c r="H41" s="68"/>
      <c r="I41" s="68"/>
      <c r="J41" s="99"/>
      <c r="K41" s="21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20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10" t="str">
        <f>IF(D41="","",IF(E40="ND",VLOOKUP(D41,Datenblatt!$A$2:$C$31,3,FALSE)-1,IF(E40="ND12,5",VLOOKUP(D41,Datenblatt!$A$2:$C$31,3,FALSE)-0.5,VLOOKUP(D41,Datenblatt!$A$2:$C$31,3,FALSE))))</f>
        <v/>
      </c>
      <c r="N41" s="211" t="str">
        <f t="shared" si="2"/>
        <v/>
      </c>
      <c r="O41" s="211" t="str">
        <f t="shared" si="3"/>
        <v/>
      </c>
      <c r="P41" s="186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103" t="str">
        <f>IF(D41="","",VLOOKUP(D41,Datenblatt!$A$2:$D$31,4,FALSE))</f>
        <v/>
      </c>
      <c r="R41" s="104" t="str">
        <f>IF(E41="","",VLOOKUP(E41,Datenblatt!$E$2:$G$28,2,FALSE))</f>
        <v/>
      </c>
      <c r="S41" s="106"/>
      <c r="T41" s="111">
        <f t="shared" si="5"/>
        <v>0</v>
      </c>
      <c r="U41" s="114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12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12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54">
        <f t="array" ref="X41">IF(T41=0,0,IF((AND((ROW(T41)=MATCH(TRUE,($T$1:$T$44)&gt;0,0)))),IF(W41&gt;=6,W41-6,0),IF(W41&gt;=2,2,W41)))</f>
        <v>0</v>
      </c>
      <c r="Y41" s="254">
        <f t="array" ref="Y41">IF(T40=0,0,(IF((AND((ROW(T40)=MATCH(TRUE,($T$1:$T$44)&gt;0,0)))),IF(W40&gt;=6,6,W40),IF(W40&gt;=2,W40-2,0))))</f>
        <v>0</v>
      </c>
      <c r="Z41" s="111" t="str">
        <f t="shared" si="6"/>
        <v/>
      </c>
      <c r="AA41" s="214">
        <f>IF(E40="ND",IF(ISERROR(MATCH(D41,Datenblatt!$L$2:$L$18,0)),3,2),IF(E40="ND12,5",IF(ISERROR(MATCH(D41,Datenblatt!$L$2:$L$18,0)),2.5,2),0))</f>
        <v>0</v>
      </c>
      <c r="AB41" s="214">
        <f>IF((IF(E41="ND",14-IF(D41="",0,VLOOKUP(D41,Datenblatt!$L$2:$M$30,2,FALSE)),IF(E41="ND12,5",2,0)))&lt;0,0,(IF(E41="ND",14-IF(D41="",0,VLOOKUP(D41,Datenblatt!$L$2:$M$30,2,FALSE)),IF(E41="ND12,5",2,0))))</f>
        <v>0</v>
      </c>
      <c r="AC41" s="214">
        <f t="shared" si="7"/>
        <v>0</v>
      </c>
      <c r="AD41" s="214">
        <f t="shared" si="8"/>
        <v>0</v>
      </c>
      <c r="AE41" s="214">
        <f t="shared" si="9"/>
        <v>0</v>
      </c>
      <c r="AF41" s="112">
        <f t="shared" si="10"/>
        <v>0</v>
      </c>
      <c r="AG41" s="112">
        <f t="shared" si="11"/>
        <v>0</v>
      </c>
      <c r="AH41" s="112">
        <f>IF(E41="",0,VLOOKUP(E41,Datenblatt!$E$2:$G$28,3,FALSE))</f>
        <v>0</v>
      </c>
    </row>
    <row r="42" spans="1:34" ht="13" customHeight="1">
      <c r="A42" s="89" t="str">
        <f>IF(ISERROR(VLOOKUP(C42,Datenblatt!$B$84:$B$97,1,FALSE)),"","Ft")</f>
        <v/>
      </c>
      <c r="B42" s="84">
        <f t="shared" si="0"/>
        <v>45441</v>
      </c>
      <c r="C42" s="86">
        <f>C41+1</f>
        <v>45441</v>
      </c>
      <c r="D42" s="67"/>
      <c r="E42" s="67"/>
      <c r="F42" s="68"/>
      <c r="G42" s="69"/>
      <c r="H42" s="68"/>
      <c r="I42" s="68"/>
      <c r="J42" s="99"/>
      <c r="K42" s="21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20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10" t="str">
        <f>IF(D42="","",IF(E41="ND",VLOOKUP(D42,Datenblatt!$A$2:$C$31,3,FALSE)-1,IF(E41="ND12,5",VLOOKUP(D42,Datenblatt!$A$2:$C$31,3,FALSE)-0.5,VLOOKUP(D42,Datenblatt!$A$2:$C$31,3,FALSE))))</f>
        <v/>
      </c>
      <c r="N42" s="211" t="str">
        <f t="shared" si="2"/>
        <v/>
      </c>
      <c r="O42" s="211" t="str">
        <f t="shared" si="3"/>
        <v/>
      </c>
      <c r="P42" s="186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103" t="str">
        <f>IF(D42="","",VLOOKUP(D42,Datenblatt!$A$2:$D$31,4,FALSE))</f>
        <v/>
      </c>
      <c r="R42" s="104" t="str">
        <f>IF(E42="","",VLOOKUP(E42,Datenblatt!$E$2:$G$28,2,FALSE))</f>
        <v/>
      </c>
      <c r="S42" s="106"/>
      <c r="T42" s="111">
        <f t="shared" si="5"/>
        <v>0</v>
      </c>
      <c r="U42" s="114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12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12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54">
        <f t="array" ref="X42">IF(T42=0,0,IF((AND((ROW(T42)=MATCH(TRUE,($T$1:$T$44)&gt;0,0)))),IF(W42&gt;=6,W42-6,0),IF(W42&gt;=2,2,W42)))</f>
        <v>0</v>
      </c>
      <c r="Y42" s="254">
        <f t="array" ref="Y42">IF(T41=0,0,(IF((AND((ROW(T41)=MATCH(TRUE,($T$1:$T$44)&gt;0,0)))),IF(W41&gt;=6,6,W41),IF(W41&gt;=2,W41-2,0))))</f>
        <v>0</v>
      </c>
      <c r="Z42" s="111" t="str">
        <f t="shared" si="6"/>
        <v/>
      </c>
      <c r="AA42" s="214">
        <f>IF(E41="ND",IF(ISERROR(MATCH(D42,Datenblatt!$L$2:$L$18,0)),3,2),IF(E41="ND12,5",IF(ISERROR(MATCH(D42,Datenblatt!$L$2:$L$18,0)),2.5,2),0))</f>
        <v>0</v>
      </c>
      <c r="AB42" s="214">
        <f>IF((IF(E42="ND",14-IF(D42="",0,VLOOKUP(D42,Datenblatt!$L$2:$M$30,2,FALSE)),IF(E42="ND12,5",2,0)))&lt;0,0,(IF(E42="ND",14-IF(D42="",0,VLOOKUP(D42,Datenblatt!$L$2:$M$30,2,FALSE)),IF(E42="ND12,5",2,0))))</f>
        <v>0</v>
      </c>
      <c r="AC42" s="214">
        <f t="shared" si="7"/>
        <v>0</v>
      </c>
      <c r="AD42" s="214">
        <f t="shared" si="8"/>
        <v>0</v>
      </c>
      <c r="AE42" s="214">
        <f t="shared" si="9"/>
        <v>0</v>
      </c>
      <c r="AF42" s="112">
        <f t="shared" si="10"/>
        <v>0</v>
      </c>
      <c r="AG42" s="112">
        <f t="shared" si="11"/>
        <v>0</v>
      </c>
      <c r="AH42" s="112">
        <f>IF(E42="",0,VLOOKUP(E42,Datenblatt!$E$2:$G$28,3,FALSE))</f>
        <v>0</v>
      </c>
    </row>
    <row r="43" spans="1:34" ht="13" customHeight="1">
      <c r="A43" s="89" t="str">
        <f>IF(ISERROR(VLOOKUP(C43,Datenblatt!$B$84:$B$97,1,FALSE)),"","Ft")</f>
        <v>Ft</v>
      </c>
      <c r="B43" s="84">
        <f t="shared" si="0"/>
        <v>45442</v>
      </c>
      <c r="C43" s="87">
        <f>C42+1</f>
        <v>45442</v>
      </c>
      <c r="D43" s="67"/>
      <c r="E43" s="67"/>
      <c r="F43" s="68"/>
      <c r="G43" s="69"/>
      <c r="H43" s="68"/>
      <c r="I43" s="68"/>
      <c r="J43" s="99"/>
      <c r="K43" s="21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209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210" t="str">
        <f>IF(D43="","",IF(E42="ND",VLOOKUP(D43,Datenblatt!$A$2:$C$31,3,FALSE)-1,IF(E42="ND12,5",VLOOKUP(D43,Datenblatt!$A$2:$C$31,3,FALSE)-0.5,VLOOKUP(D43,Datenblatt!$A$2:$C$31,3,FALSE))))</f>
        <v/>
      </c>
      <c r="N43" s="211" t="str">
        <f t="shared" si="2"/>
        <v/>
      </c>
      <c r="O43" s="211">
        <f t="shared" si="3"/>
        <v>0</v>
      </c>
      <c r="P43" s="186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103" t="str">
        <f>IF(D43="","",VLOOKUP(D43,Datenblatt!$A$2:$D$31,4,FALSE))</f>
        <v/>
      </c>
      <c r="R43" s="104" t="str">
        <f>IF(E43="","",VLOOKUP(E43,Datenblatt!$E$2:$G$28,2,FALSE))</f>
        <v/>
      </c>
      <c r="S43" s="107"/>
      <c r="T43" s="111">
        <f t="shared" si="5"/>
        <v>0</v>
      </c>
      <c r="U43" s="114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12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12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54">
        <f t="array" ref="X43">IF(T43=0,0,IF((AND((ROW(T43)=MATCH(TRUE,($T$1:$T$44)&gt;0,0)))),IF(W43&gt;=6,W43-6,0),IF(W43&gt;=2,2,W43)))</f>
        <v>0</v>
      </c>
      <c r="Y43" s="254">
        <f t="array" ref="Y43">IF(T42=0,0,(IF((AND((ROW(T42)=MATCH(TRUE,($T$1:$T$44)&gt;0,0)))),IF(W42&gt;=6,6,W42),IF(W42&gt;=2,W42-2,0))))</f>
        <v>0</v>
      </c>
      <c r="Z43" s="111" t="str">
        <f t="shared" si="6"/>
        <v/>
      </c>
      <c r="AA43" s="214">
        <f>IF(E42="ND",IF(ISERROR(MATCH(D43,Datenblatt!$L$2:$L$18,0)),3,2),IF(E42="ND12,5",IF(ISERROR(MATCH(D43,Datenblatt!$L$2:$L$18,0)),2.5,2),0))</f>
        <v>0</v>
      </c>
      <c r="AB43" s="214">
        <f>IF((IF(E43="ND",14-IF(D43="",0,VLOOKUP(D43,Datenblatt!$L$2:$M$30,2,FALSE)),IF(E43="ND12,5",2,0)))&lt;0,0,(IF(E43="ND",14-IF(D43="",0,VLOOKUP(D43,Datenblatt!$L$2:$M$30,2,FALSE)),IF(E43="ND12,5",2,0))))</f>
        <v>0</v>
      </c>
      <c r="AC43" s="214">
        <f t="shared" si="7"/>
        <v>0</v>
      </c>
      <c r="AD43" s="214">
        <f t="shared" si="8"/>
        <v>0</v>
      </c>
      <c r="AE43" s="214">
        <f t="shared" si="9"/>
        <v>0</v>
      </c>
      <c r="AF43" s="112">
        <f t="shared" si="10"/>
        <v>0</v>
      </c>
      <c r="AG43" s="112">
        <f t="shared" si="11"/>
        <v>0</v>
      </c>
      <c r="AH43" s="112">
        <f>IF(E43="",0,VLOOKUP(E43,Datenblatt!$E$2:$G$28,3,FALSE))</f>
        <v>0</v>
      </c>
    </row>
    <row r="44" spans="1:34" ht="13" customHeight="1">
      <c r="A44" s="89" t="str">
        <f>IF(ISERROR(VLOOKUP(C44,Datenblatt!$B$84:$B$97,1,FALSE)),"","Ft")</f>
        <v/>
      </c>
      <c r="B44" s="159">
        <f t="shared" si="0"/>
        <v>45443</v>
      </c>
      <c r="C44" s="160">
        <f>C43+1</f>
        <v>45443</v>
      </c>
      <c r="D44" s="67"/>
      <c r="E44" s="67"/>
      <c r="F44" s="68"/>
      <c r="G44" s="69"/>
      <c r="H44" s="68"/>
      <c r="I44" s="68"/>
      <c r="J44" s="99"/>
      <c r="K44" s="212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209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210" t="str">
        <f>IF(D44="","",IF(E43="ND",VLOOKUP(D44,Datenblatt!$A$2:$C$31,3,FALSE)-1,IF(E43="ND12,5",VLOOKUP(D44,Datenblatt!$A$2:$C$31,3,FALSE)-0.5,VLOOKUP(D44,Datenblatt!$A$2:$C$31,3,FALSE)-M45)))</f>
        <v/>
      </c>
      <c r="N44" s="211" t="str">
        <f t="shared" si="2"/>
        <v/>
      </c>
      <c r="O44" s="211" t="str">
        <f t="shared" si="3"/>
        <v/>
      </c>
      <c r="P44" s="186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103" t="str">
        <f>IF(D44="","",VLOOKUP(D44,Datenblatt!$A$2:$D$31,4,FALSE))</f>
        <v/>
      </c>
      <c r="R44" s="104" t="str">
        <f>IF(E44="","",VLOOKUP(E44,Datenblatt!$E$2:$G$28,2,FALSE))</f>
        <v/>
      </c>
      <c r="S44" s="107"/>
      <c r="T44" s="111">
        <f t="shared" si="5"/>
        <v>0</v>
      </c>
      <c r="U44" s="114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12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12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54">
        <f t="array" ref="X44">IF(T44=0,0,IF((AND((ROW(T44)=MATCH(TRUE,($T$1:$T$44)&gt;0,0)))),IF(W44&gt;=0,W44-0,0),IF(W44&gt;=2,2,W44)))</f>
        <v>0</v>
      </c>
      <c r="Y44" s="254">
        <f t="array" ref="Y44">IF(T43=0,0,(IF((AND((ROW(T43)=MATCH(TRUE,($T$1:$T$44)&gt;0,0)))),IF(W43&gt;=6,6,W43),IF(W43&gt;=2,W43-2,0))))</f>
        <v>0</v>
      </c>
      <c r="Z44" s="111" t="str">
        <f t="shared" si="6"/>
        <v/>
      </c>
      <c r="AA44" s="214">
        <f>IF(E43="ND",IF(ISERROR(MATCH(D44,Datenblatt!$L$2:$L$18,0)),3,2),IF(E43="ND12,5",IF(ISERROR(MATCH(D44,Datenblatt!$L$2:$L$18,0)),2.5,2),0))</f>
        <v>0</v>
      </c>
      <c r="AB44" s="214">
        <f>IF((IF(E44="ND",14-IF(D44="",0,VLOOKUP(D44,Datenblatt!$L$2:$M$30,2,FALSE)),IF(E44="ND12,5",2,0)))&lt;0,0,(IF(E44="ND",14-IF(D44="",0,VLOOKUP(D44,Datenblatt!$L$2:$M$30,2,FALSE)),IF(E44="ND12,5",2,0))))</f>
        <v>0</v>
      </c>
      <c r="AC44" s="214">
        <f t="shared" si="7"/>
        <v>0</v>
      </c>
      <c r="AD44" s="214">
        <f t="shared" si="8"/>
        <v>0</v>
      </c>
      <c r="AE44" s="214">
        <f t="shared" si="9"/>
        <v>0</v>
      </c>
      <c r="AF44" s="112">
        <f t="shared" si="10"/>
        <v>0</v>
      </c>
      <c r="AG44" s="112">
        <f t="shared" si="11"/>
        <v>0</v>
      </c>
      <c r="AH44" s="112">
        <f>IF(E44="",0,VLOOKUP(E44,Datenblatt!$E$2:$G$28,3,FALSE))</f>
        <v>0</v>
      </c>
    </row>
    <row r="45" spans="1:34" ht="13" customHeight="1" thickBot="1">
      <c r="A45" s="227" t="str">
        <f>IF(ISERROR(VLOOKUP(C45,Datenblatt!$B$84:$B$97,1,FALSE)),"","Ft")</f>
        <v/>
      </c>
      <c r="B45" s="153"/>
      <c r="C45" s="150"/>
      <c r="D45" s="150"/>
      <c r="E45" s="150"/>
      <c r="F45" s="150"/>
      <c r="G45" s="150"/>
      <c r="H45" s="150"/>
      <c r="I45" s="150"/>
      <c r="J45" s="154">
        <f>SUM(J14:J44)</f>
        <v>0</v>
      </c>
      <c r="K45" s="213">
        <f>SUM(K14:K44)</f>
        <v>0</v>
      </c>
      <c r="L45" s="172" t="str">
        <f>IF(D44="ND",9,IF(D44="ND12,5",8.5,"0"))</f>
        <v>0</v>
      </c>
      <c r="M45" s="172" t="str">
        <f>IF(D44="ND",9,IF(D44="ND12,5",8.5,"0"))</f>
        <v>0</v>
      </c>
      <c r="N45" s="221">
        <f t="shared" ref="N45:O45" si="12">SUM(N14:N44)</f>
        <v>0</v>
      </c>
      <c r="O45" s="221">
        <f t="shared" si="12"/>
        <v>0</v>
      </c>
      <c r="P45" s="197">
        <f>SUM(P14:P44)</f>
        <v>0</v>
      </c>
      <c r="Q45" s="173"/>
      <c r="R45" s="156"/>
      <c r="S45" s="157"/>
      <c r="T45" s="155"/>
      <c r="U45" s="115"/>
      <c r="V45" s="116"/>
      <c r="W45" s="116"/>
      <c r="X45" s="116"/>
      <c r="Y45" s="116"/>
      <c r="Z45" s="155"/>
      <c r="AA45" s="215"/>
      <c r="AB45" s="215"/>
      <c r="AC45" s="215"/>
      <c r="AD45" s="215"/>
      <c r="AE45" s="215"/>
      <c r="AF45" s="118"/>
      <c r="AG45" s="118"/>
    </row>
    <row r="46" spans="1:34" s="80" customFormat="1" ht="0.75" customHeight="1" thickBot="1">
      <c r="A46" s="470"/>
      <c r="B46" s="70"/>
      <c r="C46" s="71"/>
      <c r="D46" s="72"/>
      <c r="E46" s="102"/>
      <c r="F46" s="73"/>
      <c r="G46" s="74"/>
      <c r="H46" s="75"/>
      <c r="I46" s="74"/>
      <c r="J46" s="76"/>
      <c r="K46" s="94"/>
      <c r="L46" s="75"/>
      <c r="M46" s="77"/>
      <c r="N46" s="77"/>
      <c r="O46" s="78"/>
      <c r="P46" s="79"/>
      <c r="Q46" s="74"/>
      <c r="R46" s="70"/>
      <c r="T46" s="117"/>
      <c r="U46" s="117"/>
      <c r="V46" s="117"/>
      <c r="W46" s="117"/>
      <c r="X46" s="117"/>
      <c r="Y46" s="117"/>
      <c r="Z46" s="187"/>
      <c r="AA46" s="216"/>
      <c r="AB46" s="216"/>
      <c r="AC46" s="216"/>
      <c r="AD46" s="216"/>
      <c r="AE46" s="216"/>
      <c r="AF46" s="243"/>
      <c r="AG46" s="243"/>
      <c r="AH46" s="300"/>
    </row>
    <row r="47" spans="1:34" s="66" customFormat="1">
      <c r="A47" s="227"/>
      <c r="B47" s="168" t="s">
        <v>147</v>
      </c>
      <c r="C47" s="168"/>
      <c r="D47" s="59"/>
      <c r="E47" s="59"/>
      <c r="F47" s="56"/>
      <c r="G47" s="56"/>
      <c r="H47" s="56"/>
      <c r="I47" s="251"/>
      <c r="J47" s="251"/>
      <c r="K47" s="251"/>
      <c r="L47" s="542" t="s">
        <v>289</v>
      </c>
      <c r="M47" s="542"/>
      <c r="N47" s="542"/>
      <c r="O47" s="543"/>
      <c r="P47" s="201" t="s">
        <v>146</v>
      </c>
      <c r="Q47" s="348">
        <f>IF($P$47="ja",SUMPRODUCT((WEEKDAY($B$14:$B$44,2)=1)*2),0)</f>
        <v>0</v>
      </c>
      <c r="R47" s="158"/>
      <c r="S47" s="171"/>
      <c r="T47" s="118"/>
      <c r="U47" s="118"/>
      <c r="V47" s="118"/>
      <c r="W47" s="118"/>
      <c r="X47" s="118"/>
      <c r="Y47" s="118"/>
      <c r="Z47" s="188"/>
      <c r="AA47" s="217"/>
      <c r="AB47" s="217"/>
      <c r="AC47" s="217"/>
      <c r="AD47" s="217"/>
      <c r="AE47" s="217"/>
      <c r="AF47" s="118"/>
      <c r="AG47" s="118"/>
      <c r="AH47" s="301"/>
    </row>
    <row r="48" spans="1:34" s="66" customFormat="1">
      <c r="A48" s="227"/>
      <c r="B48" s="191" t="str">
        <f>"Verrechnung von Sonderzahlungen, Überstunden, Nachtgutstunden und Nachtdiensten erfolgt im Folgemonat"&amp;" "&amp;Start!$B$20</f>
        <v>Verrechnung von Sonderzahlungen, Überstunden, Nachtgutstunden und Nachtdiensten erfolgt im Folgemonat Juni</v>
      </c>
      <c r="C48" s="168"/>
      <c r="D48" s="59"/>
      <c r="E48" s="59"/>
      <c r="F48" s="56"/>
      <c r="G48" s="56"/>
      <c r="H48" s="82"/>
      <c r="I48" s="82"/>
      <c r="J48" s="83"/>
      <c r="K48" s="83"/>
      <c r="L48" s="538" t="s">
        <v>290</v>
      </c>
      <c r="M48" s="538"/>
      <c r="N48" s="538"/>
      <c r="O48" s="539"/>
      <c r="P48" s="204" t="s">
        <v>292</v>
      </c>
      <c r="Q48" s="347" t="str">
        <f>IF($P$48="Freizeit","       als Gutstunden abgerechnet","       im Folgemonat ausbezahlt")</f>
        <v xml:space="preserve">       als Gutstunden abgerechnet</v>
      </c>
      <c r="R48" s="203"/>
      <c r="S48" s="192"/>
      <c r="T48" s="118"/>
      <c r="U48" s="118"/>
      <c r="V48" s="118"/>
      <c r="W48" s="118"/>
      <c r="X48" s="118"/>
      <c r="Y48" s="118"/>
      <c r="Z48" s="188"/>
      <c r="AA48" s="217"/>
      <c r="AB48" s="217"/>
      <c r="AC48" s="217"/>
      <c r="AD48" s="217"/>
      <c r="AE48" s="217"/>
      <c r="AF48" s="118"/>
      <c r="AG48" s="118"/>
      <c r="AH48" s="301"/>
    </row>
    <row r="49" spans="1:34" s="66" customFormat="1" ht="15" thickBot="1">
      <c r="A49" s="227"/>
      <c r="B49" s="168"/>
      <c r="C49" s="168"/>
      <c r="D49" s="59"/>
      <c r="E49" s="59"/>
      <c r="F49" s="56"/>
      <c r="G49" s="56"/>
      <c r="H49" s="82"/>
      <c r="I49" s="82"/>
      <c r="J49" s="83"/>
      <c r="K49" s="83"/>
      <c r="L49" s="88"/>
      <c r="M49" s="88"/>
      <c r="N49" s="59"/>
      <c r="O49" s="59"/>
      <c r="P49" s="59"/>
      <c r="S49" s="56"/>
      <c r="T49" s="118"/>
      <c r="U49" s="118"/>
      <c r="V49" s="118"/>
      <c r="W49" s="118"/>
      <c r="X49" s="118"/>
      <c r="Y49" s="118"/>
      <c r="Z49" s="188"/>
      <c r="AA49" s="217"/>
      <c r="AB49" s="217"/>
      <c r="AC49" s="217"/>
      <c r="AD49" s="217"/>
      <c r="AE49" s="217"/>
      <c r="AF49" s="118"/>
      <c r="AG49" s="118"/>
      <c r="AH49" s="301"/>
    </row>
    <row r="50" spans="1:34" s="59" customFormat="1" ht="13" customHeight="1">
      <c r="A50" s="471"/>
      <c r="B50" s="452" t="s">
        <v>248</v>
      </c>
      <c r="C50" s="608" t="s">
        <v>249</v>
      </c>
      <c r="D50" s="608"/>
      <c r="E50" s="453" t="s">
        <v>412</v>
      </c>
      <c r="F50" s="272"/>
      <c r="G50" s="317" t="s">
        <v>83</v>
      </c>
      <c r="H50" s="318"/>
      <c r="I50" s="322"/>
      <c r="J50" s="322"/>
      <c r="K50" s="322"/>
      <c r="L50" s="319">
        <f>$Q$6</f>
        <v>5365.31</v>
      </c>
      <c r="N50" s="612" t="str">
        <f>"Monatsprofil"&amp;" "&amp;Start!$B$19</f>
        <v>Monatsprofil Mai</v>
      </c>
      <c r="O50" s="613"/>
      <c r="P50" s="614"/>
      <c r="T50" s="242"/>
      <c r="U50" s="242"/>
      <c r="V50" s="242"/>
      <c r="W50" s="242"/>
      <c r="X50" s="242"/>
      <c r="Y50" s="242"/>
      <c r="Z50" s="188"/>
      <c r="AA50" s="217"/>
      <c r="AB50" s="217"/>
      <c r="AC50" s="217"/>
      <c r="AD50" s="217"/>
      <c r="AE50" s="217"/>
      <c r="AF50" s="242"/>
      <c r="AG50" s="242"/>
      <c r="AH50" s="302"/>
    </row>
    <row r="51" spans="1:34" s="89" customFormat="1" ht="13" customHeight="1">
      <c r="A51" s="227"/>
      <c r="B51" s="355">
        <f>COUNTIF($D$14:$E$44,"U")-COUNTIFS($D$14:$D$44,"U",$E$14:$E$44,"K")-COUNTIFS($D$14:$D$44,"U",$E$14:$E$44,"PK")</f>
        <v>0</v>
      </c>
      <c r="C51" s="454" t="s">
        <v>18</v>
      </c>
      <c r="D51" s="455">
        <f>SUMIFS($P$14:$P$44,$D$14:$D$44,"U")+SUMIFS($P$14:$P$44,$E$14:$E$44,"U")</f>
        <v>0</v>
      </c>
      <c r="E51" s="456"/>
      <c r="F51" s="316"/>
      <c r="G51" s="341" t="s">
        <v>354</v>
      </c>
      <c r="H51" s="342"/>
      <c r="I51" s="343"/>
      <c r="J51" s="343"/>
      <c r="K51" s="343"/>
      <c r="L51" s="344">
        <f>IF(OR(Start!$D$8=Gehalt!$K$37,Start!$D$8=Gehalt!$K$39,Start!$D$8=Gehalt!$K$41),Gehalt!$C$29,0)</f>
        <v>0</v>
      </c>
      <c r="N51" s="615"/>
      <c r="O51" s="616"/>
      <c r="P51" s="617"/>
      <c r="T51" s="278" t="s">
        <v>398</v>
      </c>
      <c r="U51" s="119">
        <f>SUMPRODUCT(($U$14:$U$44)*(ISNUMBER(FIND("Ft",$A$14:$A$44))))+SUMPRODUCT((($U$14:$U$44)*1)*(WEEKDAY($B$14:$B$44,2)=7))-SUMPRODUCT((($U$14:$U$44)*1)*(WEEKDAY($B$14:$B$44,2)=7)*(ISNUMBER(FIND("Ft",$A$14:$A$44))))</f>
        <v>0</v>
      </c>
      <c r="V51" s="119">
        <f>SUMPRODUCT(($V$14:$V$44)*(ISNUMBER(FIND("Ft",$A$14:$A$44))))+SUMPRODUCT((($V$14:$V$44)*1)*(WEEKDAY($B$14:$B$44,2)=7))-SUMPRODUCT((($V$14:$V$44)*1)*(WEEKDAY($B$14:$B$44,2)=7)*(ISNUMBER(FIND("Ft",$A$14:$A$44))))</f>
        <v>0</v>
      </c>
      <c r="W51" s="119">
        <f>SUM($W$14:$W$44)</f>
        <v>0</v>
      </c>
      <c r="X51" s="255"/>
      <c r="Y51" s="256"/>
      <c r="Z51" s="278" t="s">
        <v>398</v>
      </c>
      <c r="AA51" s="214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14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14">
        <f>SUM($AC$14:$AC$44)</f>
        <v>0</v>
      </c>
      <c r="AD51" s="214">
        <f>SUM($AD$14:$AD$44)</f>
        <v>0</v>
      </c>
      <c r="AE51" s="217"/>
      <c r="AF51" s="188"/>
      <c r="AG51" s="278" t="s">
        <v>398</v>
      </c>
      <c r="AH51" s="214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1:34" s="89" customFormat="1" ht="13" customHeight="1">
      <c r="A52" s="227"/>
      <c r="B52" s="355">
        <f>COUNTIF($D$14:$E$44,"ZA")-COUNTIFS($D$14:$D$44,"ZA",$E$14:$E$44,"K")-COUNTIFS($D$14:$D$44,"ZA",$E$14:$E$44,"PK")</f>
        <v>0</v>
      </c>
      <c r="C52" s="454" t="s">
        <v>21</v>
      </c>
      <c r="D52" s="457">
        <f>SUMIFS($P$14:$P$44,$D$14:$D$44,"ZA")+SUMIFS($P$14:$P$44,$E$14:$E$44,"ZA")-$J$45</f>
        <v>0</v>
      </c>
      <c r="E52" s="458">
        <f>IF($P$48="Freizeit",SUM($N$45*1.5,$O$45*2),0)+$J$54*1.5</f>
        <v>0</v>
      </c>
      <c r="F52" s="272"/>
      <c r="G52" s="323" t="str">
        <f>"9545 Nachtdienstpauschale Gesamt ("&amp;""&amp;Gehalt!$G$25&amp;""&amp;"€/h)"</f>
        <v>9545 Nachtdienstpauschale Gesamt (29,44€/h)</v>
      </c>
      <c r="H52" s="151"/>
      <c r="I52" s="151"/>
      <c r="J52" s="151"/>
      <c r="K52" s="264">
        <f>SUM($AF$14:$AG$44)</f>
        <v>0</v>
      </c>
      <c r="L52" s="226">
        <f>$K$52*Gehalt!$G$25</f>
        <v>0</v>
      </c>
      <c r="N52" s="540" t="s">
        <v>237</v>
      </c>
      <c r="O52" s="541"/>
      <c r="P52" s="352">
        <f>VLOOKUP($B$8,Datenblatt!$A$100:$I$112,2,FALSE)</f>
        <v>31</v>
      </c>
      <c r="T52" s="279" t="s">
        <v>104</v>
      </c>
      <c r="U52" s="269">
        <f>SUM($U$14:$U$44)-$U$51</f>
        <v>0</v>
      </c>
      <c r="V52" s="269">
        <f>SUM($V$14:$V$44)-$V$51</f>
        <v>0</v>
      </c>
      <c r="W52" s="257"/>
      <c r="X52" s="265"/>
      <c r="Y52" s="256"/>
      <c r="Z52" s="280" t="s">
        <v>104</v>
      </c>
      <c r="AA52" s="214">
        <f>SUM($AA$14:$AA$44)-$AA$51</f>
        <v>0</v>
      </c>
      <c r="AB52" s="214">
        <f>SUM($AB$14:$AB$44)-$AB$51</f>
        <v>0</v>
      </c>
      <c r="AC52" s="260"/>
      <c r="AD52" s="261"/>
      <c r="AE52" s="217"/>
      <c r="AF52" s="188"/>
      <c r="AG52" s="280" t="s">
        <v>104</v>
      </c>
      <c r="AH52" s="214">
        <f>SUM($AH$14:$AH$44)-$AH$51</f>
        <v>0</v>
      </c>
    </row>
    <row r="53" spans="1:34" s="89" customFormat="1" ht="13" customHeight="1">
      <c r="A53" s="227"/>
      <c r="B53" s="355">
        <f>COUNTIF($D$14:$E$44,"RG")-COUNTIFS($D$14:$D$44,"U",$E$14:$E$44,"RG")-COUNTIFS($D$14:$D$44,"RG",$E$14:$E$44,"PK")</f>
        <v>0</v>
      </c>
      <c r="C53" s="359" t="s">
        <v>132</v>
      </c>
      <c r="D53" s="455">
        <f>SUMIFS($P$14:$P$44,$D$14:$D$44,"RG")+SUMIFS($P$14:$P$44,$E$14:$E$44,"RG")</f>
        <v>0</v>
      </c>
      <c r="E53" s="459">
        <f>$Q$47</f>
        <v>0</v>
      </c>
      <c r="G53" s="323" t="str">
        <f>"9547 Sonn- und Feiertagszulage ("&amp;""&amp;Gehalt!$G$26&amp;""&amp;"€/h)"</f>
        <v>9547 Sonn- und Feiertagszulage (18,5€/h)</v>
      </c>
      <c r="H53" s="151"/>
      <c r="I53" s="151"/>
      <c r="J53" s="151"/>
      <c r="K53" s="22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26">
        <f>$K$53*Gehalt!$G$26</f>
        <v>0</v>
      </c>
      <c r="N53" s="540" t="s">
        <v>238</v>
      </c>
      <c r="O53" s="541"/>
      <c r="P53" s="352">
        <f>VLOOKUP($B$8,Datenblatt!$A$100:$I$112,3,FALSE)</f>
        <v>4</v>
      </c>
      <c r="T53" s="277" t="s">
        <v>399</v>
      </c>
      <c r="U53" s="112">
        <f>SUMPRODUCT(($U$14:$U$44)*(ISNUMBER(FIND("Ft",$A$14:$A$44))))+SUMPRODUCT((($U$14:$U$44)*1)*(WEEKDAY($B$14:$B$44,2)=7))-SUMPRODUCT((($U$14:$U$44)*1)*(WEEKDAY($B$14:$B$44,2)=7)*(ISNUMBER(FIND("Ft",$A$14:$A$44))))</f>
        <v>0</v>
      </c>
      <c r="V53" s="112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270"/>
      <c r="X53" s="112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12">
        <f>SUMPRODUCT(($Y$14:$Y$44)*(ISNUMBER(FIND("Ft",$A$14:$A$44))))+SUMPRODUCT((($Y$14:$Y$44)*1)*(WEEKDAY($B$14:$B$44,2)=7))-SUMPRODUCT((($Y$14:$Y$44)*1)*(WEEKDAY($B$14:$B$44,2)=7)*(ISNUMBER(FIND("Ft",$A$14:$A$44))))</f>
        <v>0</v>
      </c>
      <c r="Z53" s="258"/>
      <c r="AA53" s="258"/>
      <c r="AB53" s="258"/>
      <c r="AC53" s="259"/>
      <c r="AD53" s="259"/>
      <c r="AE53" s="188"/>
      <c r="AF53" s="188"/>
      <c r="AG53" s="188"/>
      <c r="AH53" s="302"/>
    </row>
    <row r="54" spans="1:34" s="89" customFormat="1" ht="13" customHeight="1">
      <c r="A54" s="227"/>
      <c r="B54" s="355">
        <f>COUNTIF($D$14:$E$44,"NDG")-COUNTIFS($D$14:$D$44,"NDG",$E$14:$E$44,"K")-COUNTIFS($D$14:$D$44,"NDG",$E$14:$E$44,"PK")</f>
        <v>0</v>
      </c>
      <c r="C54" s="359" t="s">
        <v>131</v>
      </c>
      <c r="D54" s="455">
        <f>SUMIFS($P$14:$P$44,$D$14:$D$44,"NDG")+SUMIFS($P$14:$P$44,$E$14:$E$44,"NDG")</f>
        <v>0</v>
      </c>
      <c r="E54" s="459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609" t="s">
        <v>295</v>
      </c>
      <c r="H54" s="610"/>
      <c r="I54" s="611"/>
      <c r="J54" s="390">
        <v>0</v>
      </c>
      <c r="K54" s="225">
        <f>IF($P$48="finanziell",SUM($L$62),0)+$L$66+$L$70-$J$54</f>
        <v>0</v>
      </c>
      <c r="L54" s="226">
        <f>$K$54*$L$60</f>
        <v>0</v>
      </c>
      <c r="M54" s="56"/>
      <c r="N54" s="540" t="s">
        <v>239</v>
      </c>
      <c r="O54" s="541"/>
      <c r="P54" s="352">
        <f>VLOOKUP($B$8,Datenblatt!$A$100:$I$112,4,FALSE)</f>
        <v>8</v>
      </c>
      <c r="Q54" s="56"/>
      <c r="T54" s="242"/>
      <c r="U54" s="242"/>
      <c r="V54" s="242"/>
      <c r="W54" s="188"/>
      <c r="X54" s="188"/>
      <c r="Y54" s="188"/>
      <c r="Z54" s="242"/>
      <c r="AA54" s="242"/>
      <c r="AB54" s="242"/>
      <c r="AC54" s="188"/>
      <c r="AD54" s="188"/>
      <c r="AE54" s="188"/>
      <c r="AF54" s="188"/>
      <c r="AG54" s="188"/>
      <c r="AH54" s="302"/>
    </row>
    <row r="55" spans="1:34" s="89" customFormat="1" ht="13" customHeight="1">
      <c r="A55" s="227"/>
      <c r="B55" s="460"/>
      <c r="C55" s="359" t="s">
        <v>170</v>
      </c>
      <c r="D55" s="455">
        <f>SUMIFS($M$14:$M$44,$D$14:$D$44,"U")</f>
        <v>0</v>
      </c>
      <c r="E55" s="456"/>
      <c r="G55" s="323" t="s">
        <v>227</v>
      </c>
      <c r="H55" s="151"/>
      <c r="I55" s="151"/>
      <c r="J55" s="151"/>
      <c r="K55" s="225">
        <f>IF($P$48="finanziell",SUM($L$63),0)+$L$71+$L$67</f>
        <v>0</v>
      </c>
      <c r="L55" s="226">
        <f>$K$55*$L$61</f>
        <v>0</v>
      </c>
      <c r="M55" s="59"/>
      <c r="N55" s="540" t="s">
        <v>240</v>
      </c>
      <c r="O55" s="541"/>
      <c r="P55" s="352">
        <f>VLOOKUP($B$8,Datenblatt!$A$100:$I$112,5,FALSE)</f>
        <v>19</v>
      </c>
      <c r="T55" s="242"/>
      <c r="U55" s="242"/>
      <c r="V55" s="242"/>
      <c r="W55" s="188"/>
      <c r="X55" s="188"/>
      <c r="Y55" s="188"/>
      <c r="Z55" s="242"/>
      <c r="AA55" s="242"/>
      <c r="AB55" s="242"/>
      <c r="AC55" s="188"/>
      <c r="AD55" s="188"/>
      <c r="AE55" s="188"/>
      <c r="AF55" s="188"/>
      <c r="AG55" s="188"/>
      <c r="AH55" s="302"/>
    </row>
    <row r="56" spans="1:34" s="89" customFormat="1" ht="13" customHeight="1">
      <c r="A56" s="227"/>
      <c r="B56" s="355">
        <f>COUNTIF($D$14:$E$44,"SU")-COUNTIFS($D$14:$D$44,"SU",$E$14:$E$44,"K")-COUNTIFS($D$14:$D$44,"SU",$E$14:$E$44,"PK")</f>
        <v>0</v>
      </c>
      <c r="C56" s="359" t="s">
        <v>172</v>
      </c>
      <c r="D56" s="455">
        <f>SUMIFS($M$14:$M$44,$D$14:$D$44,"SU")</f>
        <v>0</v>
      </c>
      <c r="E56" s="456"/>
      <c r="G56" s="323" t="s">
        <v>285</v>
      </c>
      <c r="H56" s="151"/>
      <c r="I56" s="151"/>
      <c r="J56" s="151"/>
      <c r="K56" s="394">
        <f ca="1">IF(April!$P$63-SUM(Start!$E$35,Start!$E$15:$E$19)*2&lt;=0,0,April!$P$63-SUM(Start!$E$35,Start!$E$15:$E$19)*2)</f>
        <v>0</v>
      </c>
      <c r="L56" s="226">
        <f ca="1">$K$56*(ROUNDDOWN((($Q$6-35)/173*1),2))</f>
        <v>0</v>
      </c>
      <c r="N56" s="540" t="s">
        <v>241</v>
      </c>
      <c r="O56" s="541"/>
      <c r="P56" s="352">
        <f>VLOOKUP($B$8,Datenblatt!$A$100:$I$112,7,FALSE)</f>
        <v>23</v>
      </c>
      <c r="T56" s="242"/>
      <c r="U56" s="242"/>
      <c r="V56" s="242"/>
      <c r="W56" s="188"/>
      <c r="X56" s="188"/>
      <c r="Y56" s="188"/>
      <c r="Z56" s="242"/>
      <c r="AA56" s="242"/>
      <c r="AB56" s="242"/>
      <c r="AC56" s="188"/>
      <c r="AD56" s="188"/>
      <c r="AE56" s="188"/>
      <c r="AF56" s="188"/>
      <c r="AG56" s="188"/>
      <c r="AH56" s="302"/>
    </row>
    <row r="57" spans="1:34" s="89" customFormat="1" ht="13" customHeight="1">
      <c r="A57" s="227"/>
      <c r="B57" s="355">
        <f>COUNTIF($D$14:$E$44,"PK")</f>
        <v>0</v>
      </c>
      <c r="C57" s="359" t="s">
        <v>171</v>
      </c>
      <c r="D57" s="455">
        <f>SUMIFS($M$14:$M$44,$D$14:$D$44,"PK")</f>
        <v>0</v>
      </c>
      <c r="E57" s="456"/>
      <c r="G57" s="391" t="s">
        <v>297</v>
      </c>
      <c r="H57" s="392"/>
      <c r="I57" s="392"/>
      <c r="J57" s="151"/>
      <c r="K57" s="225">
        <f>IF(OR(Start!$D$8=Gehalt!$K$37,Start!$D$8=Gehalt!$K$39,Start!$D$8=Gehalt!$K$41),SUMIFS($M$14:$M$44,$Q$14:$Q$44,"=Tagdienst*",$E$14:$E$44,"&lt;&gt;*")+SUMIFS($AH$14:$AH$44,$R$14:$R$44,"=Tagdienst*"),0)</f>
        <v>0</v>
      </c>
      <c r="L57" s="226">
        <f>$K$57*Gehalt!$C$28</f>
        <v>0</v>
      </c>
      <c r="N57" s="540" t="s">
        <v>236</v>
      </c>
      <c r="O57" s="541"/>
      <c r="P57" s="352">
        <f>VLOOKUP($B$8,Datenblatt!$A$100:$I$112,6,FALSE)</f>
        <v>152</v>
      </c>
      <c r="T57" s="242"/>
      <c r="U57" s="242"/>
      <c r="V57" s="242"/>
      <c r="W57" s="188"/>
      <c r="X57" s="188"/>
      <c r="Y57" s="188"/>
      <c r="Z57" s="242"/>
      <c r="AA57" s="242"/>
      <c r="AB57" s="242"/>
      <c r="AC57" s="188"/>
      <c r="AD57" s="188"/>
      <c r="AE57" s="188"/>
      <c r="AF57" s="188"/>
      <c r="AG57" s="188"/>
      <c r="AH57" s="302"/>
    </row>
    <row r="58" spans="1:34" s="89" customFormat="1" ht="13" customHeight="1">
      <c r="A58" s="227"/>
      <c r="B58" s="355">
        <f>COUNTIF($D$14:$E$44,"K")+COUNTIF($D$14:$E$44,"KA")</f>
        <v>0</v>
      </c>
      <c r="C58" s="359" t="s">
        <v>418</v>
      </c>
      <c r="D58" s="455">
        <f>SUMIFS($M$14:$M$44,$D$14:$D$44,"K")+SUMIFS($M$14:$M$44,$D$14:$D$44,"KA")</f>
        <v>0</v>
      </c>
      <c r="E58" s="456"/>
      <c r="G58" s="323" t="s">
        <v>296</v>
      </c>
      <c r="H58" s="151"/>
      <c r="I58" s="151"/>
      <c r="J58" s="393" t="s">
        <v>146</v>
      </c>
      <c r="K58" s="225"/>
      <c r="L58" s="226">
        <f>IF($J$58="ja",Gehalt!$C$27,0)</f>
        <v>0</v>
      </c>
      <c r="N58" s="618" t="str">
        <f>"Stundenkonto Monatsende"&amp;" "&amp;Start!$B$19</f>
        <v>Stundenkonto Monatsende Mai</v>
      </c>
      <c r="O58" s="619"/>
      <c r="P58" s="620"/>
      <c r="T58" s="242"/>
      <c r="U58" s="242"/>
      <c r="V58" s="242"/>
      <c r="W58" s="188"/>
      <c r="X58" s="188"/>
      <c r="Y58" s="188"/>
      <c r="Z58" s="242"/>
      <c r="AA58" s="242"/>
      <c r="AB58" s="242"/>
      <c r="AC58" s="188"/>
      <c r="AD58" s="188"/>
      <c r="AE58" s="188"/>
      <c r="AF58" s="188"/>
      <c r="AG58" s="188"/>
      <c r="AH58" s="302"/>
    </row>
    <row r="59" spans="1:34" s="89" customFormat="1" ht="13" customHeight="1" thickBot="1">
      <c r="A59" s="227"/>
      <c r="B59" s="460"/>
      <c r="C59" s="359" t="s">
        <v>19</v>
      </c>
      <c r="D59" s="455">
        <f>COUNTIF($L$14:$L$44,"n.b.")</f>
        <v>0</v>
      </c>
      <c r="E59" s="456"/>
      <c r="G59" s="229" t="s">
        <v>362</v>
      </c>
      <c r="H59" s="230"/>
      <c r="I59" s="230"/>
      <c r="J59" s="230"/>
      <c r="K59" s="338"/>
      <c r="L59" s="228">
        <f ca="1">SUM(L52:L57)*12%</f>
        <v>0</v>
      </c>
      <c r="N59" s="615"/>
      <c r="O59" s="616"/>
      <c r="P59" s="617"/>
      <c r="T59" s="242"/>
      <c r="U59" s="188"/>
      <c r="V59" s="188"/>
      <c r="W59" s="188"/>
      <c r="X59" s="188"/>
      <c r="Y59" s="188"/>
      <c r="Z59" s="242"/>
      <c r="AA59" s="188"/>
      <c r="AB59" s="188"/>
      <c r="AC59" s="188"/>
      <c r="AD59" s="188"/>
      <c r="AE59" s="188"/>
      <c r="AF59" s="188"/>
      <c r="AG59" s="188"/>
      <c r="AH59" s="302"/>
    </row>
    <row r="60" spans="1:34" s="89" customFormat="1" ht="13" customHeight="1">
      <c r="A60" s="227"/>
      <c r="B60" s="355">
        <f>COUNTIF($D$14:$E$44,"DV")</f>
        <v>0</v>
      </c>
      <c r="C60" s="359" t="s">
        <v>111</v>
      </c>
      <c r="D60" s="455">
        <f>SUMIFS($P$14:$P$44,$D$14:$D$44,"DV")+SUMIFS($P$14:$P$44,$E$14:$E$44,"DV")</f>
        <v>0</v>
      </c>
      <c r="E60" s="456"/>
      <c r="G60" s="238" t="s">
        <v>298</v>
      </c>
      <c r="H60" s="239"/>
      <c r="I60" s="240"/>
      <c r="J60" s="240"/>
      <c r="K60" s="240"/>
      <c r="L60" s="241">
        <f>IF($Q$6="",0,ROUNDDOWN((($Q$6-35)/173*1.5),2))</f>
        <v>46.21</v>
      </c>
      <c r="N60" s="540" t="s">
        <v>234</v>
      </c>
      <c r="O60" s="541"/>
      <c r="P60" s="352">
        <f>Start!$C$30+SUM(Jänner:Mai!$D$51)</f>
        <v>0</v>
      </c>
      <c r="T60" s="244"/>
      <c r="U60" s="188"/>
      <c r="V60" s="188"/>
      <c r="W60" s="188"/>
      <c r="X60" s="188"/>
      <c r="Y60" s="188"/>
      <c r="Z60" s="244"/>
      <c r="AA60" s="188"/>
      <c r="AB60" s="188"/>
      <c r="AC60" s="188"/>
      <c r="AD60" s="188"/>
      <c r="AE60" s="188"/>
      <c r="AF60" s="188"/>
      <c r="AG60" s="188"/>
      <c r="AH60" s="302"/>
    </row>
    <row r="61" spans="1:34" s="89" customFormat="1" ht="13" customHeight="1">
      <c r="A61" s="227"/>
      <c r="B61" s="355">
        <f>COUNTIF($D$14:$E$44,"WR")</f>
        <v>0</v>
      </c>
      <c r="C61" s="359" t="s">
        <v>126</v>
      </c>
      <c r="D61" s="466"/>
      <c r="E61" s="456"/>
      <c r="G61" s="360" t="s">
        <v>400</v>
      </c>
      <c r="H61" s="358"/>
      <c r="I61" s="357"/>
      <c r="J61" s="357"/>
      <c r="K61" s="357"/>
      <c r="L61" s="356">
        <f>IF($Q$6="",0,ROUNDDOWN((($Q$6-35)/173*2),2))</f>
        <v>61.62</v>
      </c>
      <c r="N61" s="540" t="s">
        <v>235</v>
      </c>
      <c r="O61" s="541"/>
      <c r="P61" s="353">
        <f>Start!$C$31+SUM(Jänner:Mai!$D$52)+SUM(Jänner:Mai!$E$52)</f>
        <v>0</v>
      </c>
      <c r="T61" s="244"/>
      <c r="U61" s="188"/>
      <c r="V61" s="188"/>
      <c r="W61" s="188"/>
      <c r="X61" s="188"/>
      <c r="Y61" s="188"/>
      <c r="Z61" s="244"/>
      <c r="AA61" s="188"/>
      <c r="AB61" s="188"/>
      <c r="AC61" s="188"/>
      <c r="AD61" s="188"/>
      <c r="AE61" s="188"/>
      <c r="AF61" s="188"/>
      <c r="AG61" s="188"/>
      <c r="AH61" s="302"/>
    </row>
    <row r="62" spans="1:34" s="59" customFormat="1" ht="13" customHeight="1">
      <c r="A62" s="471"/>
      <c r="B62" s="478"/>
      <c r="C62" s="478"/>
      <c r="D62" s="478"/>
      <c r="E62" s="478"/>
      <c r="G62" s="374" t="s">
        <v>392</v>
      </c>
      <c r="H62" s="375"/>
      <c r="I62" s="125"/>
      <c r="J62" s="125"/>
      <c r="K62" s="125"/>
      <c r="L62" s="376">
        <f>SUM($N$14:$N$44)</f>
        <v>0</v>
      </c>
      <c r="M62" s="89"/>
      <c r="N62" s="540" t="s">
        <v>148</v>
      </c>
      <c r="O62" s="541"/>
      <c r="P62" s="352">
        <f>Start!$C$32+SUM(Jänner:Mai!$D$53)+SUM(Jänner:Mai!$E$53)</f>
        <v>0</v>
      </c>
      <c r="Q62" s="89"/>
      <c r="T62" s="244"/>
      <c r="U62" s="242"/>
      <c r="V62" s="242"/>
      <c r="W62" s="242"/>
      <c r="X62" s="242"/>
      <c r="Y62" s="242"/>
      <c r="Z62" s="244"/>
      <c r="AA62" s="242"/>
      <c r="AB62" s="242"/>
      <c r="AC62" s="242"/>
      <c r="AD62" s="242"/>
      <c r="AE62" s="242"/>
      <c r="AF62" s="242"/>
      <c r="AG62" s="242"/>
      <c r="AH62" s="302"/>
    </row>
    <row r="63" spans="1:34" s="59" customFormat="1" ht="13" customHeight="1">
      <c r="A63" s="471"/>
      <c r="G63" s="374" t="s">
        <v>102</v>
      </c>
      <c r="H63" s="375"/>
      <c r="I63" s="125"/>
      <c r="J63" s="125"/>
      <c r="K63" s="125"/>
      <c r="L63" s="376">
        <f>SUM($O$14:$O$44)</f>
        <v>0</v>
      </c>
      <c r="M63" s="89"/>
      <c r="N63" s="544" t="s">
        <v>166</v>
      </c>
      <c r="O63" s="545"/>
      <c r="P63" s="354">
        <f ca="1">Start!$C$33+SUM(Jänner:Mai!$D$54)+SUM(Jänner:Mai!$E$54)-SUM(Jänner:Mai!$K$56)</f>
        <v>0</v>
      </c>
      <c r="Q63" s="89"/>
      <c r="T63" s="244"/>
      <c r="U63" s="242"/>
      <c r="V63" s="242"/>
      <c r="W63" s="242"/>
      <c r="X63" s="242"/>
      <c r="Y63" s="242"/>
      <c r="Z63" s="244"/>
      <c r="AA63" s="242"/>
      <c r="AB63" s="242"/>
      <c r="AC63" s="242"/>
      <c r="AD63" s="242"/>
      <c r="AE63" s="242"/>
      <c r="AF63" s="242"/>
      <c r="AG63" s="242"/>
      <c r="AH63" s="302"/>
    </row>
    <row r="64" spans="1:34" s="59" customFormat="1" ht="13" customHeight="1">
      <c r="A64" s="471"/>
      <c r="E64" s="140"/>
      <c r="G64" s="374" t="s">
        <v>98</v>
      </c>
      <c r="H64" s="375"/>
      <c r="I64" s="125"/>
      <c r="J64" s="125"/>
      <c r="K64" s="125"/>
      <c r="L64" s="377">
        <f>$L$62*$L$60</f>
        <v>0</v>
      </c>
      <c r="M64" s="89"/>
      <c r="N64" s="546" t="str">
        <f>"Bisheriger Verbrauch"&amp;" "&amp;Start!$D$2</f>
        <v>Bisheriger Verbrauch 2024</v>
      </c>
      <c r="O64" s="547"/>
      <c r="P64" s="548"/>
      <c r="Q64" s="89"/>
      <c r="T64" s="244"/>
      <c r="U64" s="242"/>
      <c r="V64" s="242"/>
      <c r="W64" s="242"/>
      <c r="X64" s="242"/>
      <c r="Y64" s="242"/>
      <c r="Z64" s="244"/>
      <c r="AA64" s="242"/>
      <c r="AB64" s="242"/>
      <c r="AC64" s="242"/>
      <c r="AD64" s="242"/>
      <c r="AE64" s="242"/>
      <c r="AF64" s="242"/>
      <c r="AG64" s="242"/>
      <c r="AH64" s="302"/>
    </row>
    <row r="65" spans="1:34" s="59" customFormat="1" ht="13" customHeight="1">
      <c r="A65" s="471"/>
      <c r="E65" s="140"/>
      <c r="G65" s="267" t="s">
        <v>99</v>
      </c>
      <c r="H65" s="268"/>
      <c r="I65" s="378"/>
      <c r="J65" s="378"/>
      <c r="K65" s="378"/>
      <c r="L65" s="379">
        <f>$L$63*$L$61</f>
        <v>0</v>
      </c>
      <c r="M65" s="89"/>
      <c r="N65" s="549"/>
      <c r="O65" s="550"/>
      <c r="P65" s="551"/>
      <c r="Q65" s="89"/>
      <c r="T65" s="244"/>
      <c r="U65" s="242"/>
      <c r="V65" s="242"/>
      <c r="W65" s="242"/>
      <c r="X65" s="242"/>
      <c r="Y65" s="242"/>
      <c r="Z65" s="244"/>
      <c r="AA65" s="242"/>
      <c r="AB65" s="242"/>
      <c r="AC65" s="242"/>
      <c r="AD65" s="242"/>
      <c r="AE65" s="242"/>
      <c r="AF65" s="242"/>
      <c r="AG65" s="242"/>
      <c r="AH65" s="302"/>
    </row>
    <row r="66" spans="1:34" s="59" customFormat="1" ht="13" customHeight="1">
      <c r="A66" s="471"/>
      <c r="E66" s="140"/>
      <c r="G66" s="380" t="s">
        <v>228</v>
      </c>
      <c r="H66" s="381"/>
      <c r="I66" s="382"/>
      <c r="J66" s="382"/>
      <c r="K66" s="382"/>
      <c r="L66" s="376">
        <f>SUM($U$52:$V$52)+$AH$52</f>
        <v>0</v>
      </c>
      <c r="N66" s="533" t="s">
        <v>234</v>
      </c>
      <c r="O66" s="534"/>
      <c r="P66" s="398">
        <f>SUM(Jänner:Mai!$D$51)</f>
        <v>0</v>
      </c>
      <c r="T66" s="244"/>
      <c r="U66" s="242"/>
      <c r="V66" s="242"/>
      <c r="W66" s="242"/>
      <c r="X66" s="242"/>
      <c r="Y66" s="242"/>
      <c r="Z66" s="244"/>
      <c r="AA66" s="242"/>
      <c r="AB66" s="242"/>
      <c r="AC66" s="242"/>
      <c r="AD66" s="242"/>
      <c r="AE66" s="242"/>
      <c r="AF66" s="242"/>
      <c r="AG66" s="242"/>
      <c r="AH66" s="302"/>
    </row>
    <row r="67" spans="1:34" s="59" customFormat="1" ht="13" customHeight="1">
      <c r="A67" s="471"/>
      <c r="D67" s="140"/>
      <c r="E67" s="140"/>
      <c r="G67" s="380" t="s">
        <v>103</v>
      </c>
      <c r="H67" s="381"/>
      <c r="I67" s="382"/>
      <c r="J67" s="382"/>
      <c r="K67" s="382"/>
      <c r="L67" s="376">
        <f>SUM($U$51:$W$51)+$AH$51</f>
        <v>0</v>
      </c>
      <c r="N67" s="533" t="s">
        <v>235</v>
      </c>
      <c r="O67" s="534"/>
      <c r="P67" s="398">
        <f>SUM(Jänner:Mai!$D$52)</f>
        <v>0</v>
      </c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42"/>
      <c r="AG67" s="242"/>
      <c r="AH67" s="302"/>
    </row>
    <row r="68" spans="1:34" s="59" customFormat="1" ht="13" customHeight="1">
      <c r="A68" s="471"/>
      <c r="D68" s="140"/>
      <c r="E68" s="140"/>
      <c r="G68" s="121" t="s">
        <v>100</v>
      </c>
      <c r="H68" s="122"/>
      <c r="I68" s="125"/>
      <c r="J68" s="125"/>
      <c r="K68" s="125"/>
      <c r="L68" s="377">
        <f>$L$66*$L$60</f>
        <v>0</v>
      </c>
      <c r="N68" s="533" t="s">
        <v>148</v>
      </c>
      <c r="O68" s="534"/>
      <c r="P68" s="398">
        <f>SUM(Jänner:Mai!$D$53)</f>
        <v>0</v>
      </c>
      <c r="T68" s="242"/>
      <c r="U68" s="242"/>
      <c r="V68" s="242"/>
      <c r="W68" s="242"/>
      <c r="X68" s="242"/>
      <c r="Y68" s="242"/>
      <c r="Z68" s="242"/>
      <c r="AA68" s="242"/>
      <c r="AB68" s="242"/>
      <c r="AC68" s="242"/>
      <c r="AD68" s="242"/>
      <c r="AE68" s="242"/>
      <c r="AF68" s="242"/>
      <c r="AG68" s="242"/>
      <c r="AH68" s="302"/>
    </row>
    <row r="69" spans="1:34" s="59" customFormat="1" ht="13" customHeight="1">
      <c r="A69" s="471"/>
      <c r="D69" s="140"/>
      <c r="E69" s="140"/>
      <c r="G69" s="383" t="s">
        <v>101</v>
      </c>
      <c r="H69" s="384"/>
      <c r="I69" s="378"/>
      <c r="J69" s="378"/>
      <c r="K69" s="378"/>
      <c r="L69" s="379">
        <f>$L$67*$L$61</f>
        <v>0</v>
      </c>
      <c r="N69" s="621" t="s">
        <v>166</v>
      </c>
      <c r="O69" s="622"/>
      <c r="P69" s="399">
        <f>SUM(Jänner:Mai!$D$54)</f>
        <v>0</v>
      </c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302"/>
    </row>
    <row r="70" spans="1:34" s="59" customFormat="1" ht="13" customHeight="1">
      <c r="A70" s="471"/>
      <c r="D70" s="140"/>
      <c r="E70" s="140"/>
      <c r="G70" s="374" t="s">
        <v>393</v>
      </c>
      <c r="H70" s="375"/>
      <c r="I70" s="125"/>
      <c r="J70" s="125"/>
      <c r="K70" s="125"/>
      <c r="L70" s="376">
        <f>SUM($AA$52:$AB$52)</f>
        <v>0</v>
      </c>
      <c r="N70" s="604" t="s">
        <v>389</v>
      </c>
      <c r="O70" s="605"/>
      <c r="P70" s="451">
        <f>SUM(Jänner:Mai!$B$56)</f>
        <v>0</v>
      </c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302"/>
    </row>
    <row r="71" spans="1:34" s="59" customFormat="1" ht="13" customHeight="1">
      <c r="A71" s="471"/>
      <c r="D71" s="140"/>
      <c r="E71" s="140"/>
      <c r="G71" s="374" t="s">
        <v>356</v>
      </c>
      <c r="H71" s="375"/>
      <c r="I71" s="125"/>
      <c r="J71" s="125"/>
      <c r="K71" s="125"/>
      <c r="L71" s="376">
        <f>SUM($AA$51:$AD$51)</f>
        <v>0</v>
      </c>
      <c r="N71" s="533" t="s">
        <v>390</v>
      </c>
      <c r="O71" s="534"/>
      <c r="P71" s="398">
        <f>SUM(Jänner:Mai!$B$57)</f>
        <v>0</v>
      </c>
      <c r="T71" s="242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302"/>
    </row>
    <row r="72" spans="1:34" s="59" customFormat="1" ht="13" customHeight="1">
      <c r="A72" s="471"/>
      <c r="D72" s="140"/>
      <c r="E72" s="140"/>
      <c r="G72" s="374" t="s">
        <v>98</v>
      </c>
      <c r="H72" s="375"/>
      <c r="I72" s="125"/>
      <c r="J72" s="125"/>
      <c r="K72" s="125"/>
      <c r="L72" s="377">
        <f>$L$70*$L$60</f>
        <v>0</v>
      </c>
      <c r="N72" s="606" t="s">
        <v>388</v>
      </c>
      <c r="O72" s="607"/>
      <c r="P72" s="450">
        <f>SUM(Jänner:Mai!$B$58)</f>
        <v>0</v>
      </c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302"/>
    </row>
    <row r="73" spans="1:34" s="59" customFormat="1" ht="13" customHeight="1">
      <c r="A73" s="471"/>
      <c r="D73" s="140"/>
      <c r="E73" s="315"/>
      <c r="G73" s="267" t="s">
        <v>99</v>
      </c>
      <c r="H73" s="268"/>
      <c r="I73" s="378"/>
      <c r="J73" s="378"/>
      <c r="K73" s="378"/>
      <c r="L73" s="379">
        <f>$L$71*$L$61</f>
        <v>0</v>
      </c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302"/>
    </row>
    <row r="74" spans="1:34" s="59" customFormat="1" ht="13" customHeight="1">
      <c r="A74" s="471"/>
      <c r="D74" s="140"/>
      <c r="G74" s="385" t="s">
        <v>288</v>
      </c>
      <c r="H74" s="386"/>
      <c r="I74" s="161"/>
      <c r="J74" s="161"/>
      <c r="K74" s="161"/>
      <c r="L74" s="387">
        <f>VLOOKUP($B$8,Datenblatt!$A$100:$F$112,6,FALSE)-SUM($D$55:$D$58)</f>
        <v>152</v>
      </c>
      <c r="T74" s="242"/>
      <c r="U74" s="242"/>
      <c r="V74" s="242"/>
      <c r="W74" s="242"/>
      <c r="X74" s="242"/>
      <c r="Y74" s="242"/>
      <c r="Z74" s="242"/>
      <c r="AA74" s="242"/>
      <c r="AB74" s="242"/>
      <c r="AC74" s="242"/>
      <c r="AD74" s="242"/>
      <c r="AE74" s="242"/>
      <c r="AF74" s="242"/>
      <c r="AG74" s="242"/>
      <c r="AH74" s="302"/>
    </row>
    <row r="75" spans="1:34" s="59" customFormat="1" ht="13" customHeight="1">
      <c r="A75" s="471"/>
      <c r="D75" s="140"/>
      <c r="T75" s="242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242"/>
      <c r="AF75" s="242"/>
      <c r="AG75" s="242"/>
      <c r="AH75" s="302"/>
    </row>
    <row r="76" spans="1:34" s="59" customFormat="1" ht="13" customHeight="1">
      <c r="A76" s="471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302"/>
    </row>
    <row r="77" spans="1:34" s="59" customFormat="1" ht="13" customHeight="1">
      <c r="A77" s="471"/>
      <c r="C77" s="164" t="s">
        <v>243</v>
      </c>
      <c r="D77" s="165"/>
      <c r="E77" s="166"/>
      <c r="F77" s="166"/>
      <c r="G77" s="166"/>
      <c r="H77" s="167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302"/>
    </row>
    <row r="78" spans="1:34" s="59" customFormat="1" ht="13" customHeight="1">
      <c r="A78" s="471"/>
      <c r="C78" s="121" t="s">
        <v>92</v>
      </c>
      <c r="D78" s="122"/>
      <c r="E78" s="123"/>
      <c r="F78" s="123"/>
      <c r="G78" s="123"/>
      <c r="H78" s="124">
        <f>SUMPRODUCT((WEEKDAY($B$13:$B$43,2)=6)*($D$13:$D$43="ND"))-SUMPRODUCT((WEEKDAY($B$13:$B$43,2)=6)*($D$13:$D$43="ND")*($A$13:$A$43="Ft"))</f>
        <v>0</v>
      </c>
      <c r="R78" s="120"/>
      <c r="S78" s="120"/>
      <c r="T78" s="242"/>
      <c r="U78" s="242"/>
      <c r="V78" s="242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  <c r="AH78" s="302"/>
    </row>
    <row r="79" spans="1:34" s="59" customFormat="1" ht="13" customHeight="1">
      <c r="A79" s="471"/>
      <c r="C79" s="121" t="s">
        <v>93</v>
      </c>
      <c r="D79" s="122"/>
      <c r="E79" s="123"/>
      <c r="F79" s="123"/>
      <c r="G79" s="123"/>
      <c r="H79" s="124">
        <f>SUMPRODUCT((WEEKDAY($B$14:$B$44,2)=7)*($D$14:$D$44="ND"))-SUMPRODUCT((WEEKDAY($B$14:$B$44,2)=7)*($D$14:$D$44="ND")*($A$14:$A$44="Ft"))</f>
        <v>0</v>
      </c>
      <c r="R79" s="120"/>
      <c r="S79" s="120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  <c r="AH79" s="302"/>
    </row>
    <row r="80" spans="1:34" s="59" customFormat="1" ht="13" customHeight="1">
      <c r="A80" s="471"/>
      <c r="C80" s="121" t="s">
        <v>94</v>
      </c>
      <c r="D80" s="122"/>
      <c r="E80" s="123"/>
      <c r="F80" s="123"/>
      <c r="G80" s="123"/>
      <c r="H80" s="124">
        <f>SUMPRODUCT(($D$14:$D$44="ND")*($A$14:$A$44="Ft"))</f>
        <v>0</v>
      </c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42"/>
      <c r="AG80" s="242"/>
      <c r="AH80" s="302"/>
    </row>
    <row r="81" spans="1:34" s="59" customFormat="1" ht="13" customHeight="1">
      <c r="A81" s="471"/>
      <c r="C81" s="121" t="s">
        <v>95</v>
      </c>
      <c r="D81" s="122"/>
      <c r="E81" s="125"/>
      <c r="F81" s="125"/>
      <c r="G81" s="125"/>
      <c r="H81" s="124">
        <f>SUMPRODUCT((WEEKDAY($C$13:$C$43,2)=7)*($D$13:$D$43="ND")*($A$14:$A$44="Ft"))-SUMPRODUCT((WEEKDAY($C$13:$C$43,2)=7)*($D$13:$D$43="ND")*($A$13:$A$43="Ft")*($A$14:$A$44="Ft"))</f>
        <v>0</v>
      </c>
      <c r="T81" s="242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  <c r="AH81" s="302"/>
    </row>
    <row r="82" spans="1:34" s="59" customFormat="1" ht="13" customHeight="1">
      <c r="A82" s="471"/>
      <c r="C82" s="121" t="s">
        <v>96</v>
      </c>
      <c r="D82" s="122"/>
      <c r="E82" s="125"/>
      <c r="F82" s="125"/>
      <c r="G82" s="125"/>
      <c r="H82" s="124">
        <f>SUMPRODUCT(($A$13:$A$43="Ft")*($D$13:$D$43="ND")*($A$14:$A$44="Ft"))</f>
        <v>0</v>
      </c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42"/>
      <c r="AG82" s="242"/>
      <c r="AH82" s="302"/>
    </row>
    <row r="83" spans="1:34" s="59" customFormat="1" ht="13" customHeight="1">
      <c r="A83" s="471"/>
      <c r="C83" s="121" t="s">
        <v>97</v>
      </c>
      <c r="D83" s="122"/>
      <c r="E83" s="125"/>
      <c r="F83" s="122"/>
      <c r="G83" s="122"/>
      <c r="H83" s="124">
        <f>SUMPRODUCT(($A$13:$A$43="Ft")*(WEEKDAY($C$14:$C$44,2)=7)*($D$13:$D$43="ND"))-SUMPRODUCT(($A$13:$A$43="Ft")*($A$14:$A$44="Ft")*(WEEKDAY($C$14:$C$44,2)=7)*($D$13:$D$43="ND"))</f>
        <v>0</v>
      </c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302"/>
    </row>
    <row r="84" spans="1:34" s="59" customFormat="1" ht="13" customHeight="1">
      <c r="A84" s="471"/>
      <c r="C84" s="126" t="s">
        <v>152</v>
      </c>
      <c r="D84" s="127"/>
      <c r="E84" s="161"/>
      <c r="F84" s="127"/>
      <c r="G84" s="127"/>
      <c r="H84" s="199">
        <f>SUMPRODUCT(($A$14:$A$44="Ft")*(WEEKDAY($C$13:$C$43,2)&lt;6)*($D$13:$D$43="ND"))-(SUMPRODUCT(($A$14:$A$44="Ft")*($A$13:$A$43="Ft")*(WEEKDAY($C$13:$C$43,2)&lt;6)*($D$13:$D$43="ND")))</f>
        <v>0</v>
      </c>
      <c r="T84" s="242"/>
      <c r="U84" s="242"/>
      <c r="V84" s="242"/>
      <c r="W84" s="242"/>
      <c r="X84" s="242"/>
      <c r="Y84" s="242"/>
      <c r="Z84" s="242"/>
      <c r="AA84" s="242"/>
      <c r="AB84" s="242"/>
      <c r="AC84" s="242"/>
      <c r="AD84" s="242"/>
      <c r="AE84" s="242"/>
      <c r="AF84" s="242"/>
      <c r="AG84" s="242"/>
      <c r="AH84" s="302"/>
    </row>
    <row r="85" spans="1:34" s="59" customFormat="1" ht="13" customHeight="1">
      <c r="A85" s="471"/>
      <c r="C85" s="164" t="s">
        <v>244</v>
      </c>
      <c r="D85" s="165"/>
      <c r="E85" s="166"/>
      <c r="F85" s="166"/>
      <c r="G85" s="166"/>
      <c r="H85" s="167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242"/>
      <c r="AF85" s="242"/>
      <c r="AG85" s="242"/>
      <c r="AH85" s="302"/>
    </row>
    <row r="86" spans="1:34" s="59" customFormat="1" ht="13" customHeight="1">
      <c r="A86" s="471"/>
      <c r="C86" s="267" t="s">
        <v>401</v>
      </c>
      <c r="D86" s="268"/>
      <c r="E86" s="268"/>
      <c r="F86" s="268"/>
      <c r="G86" s="268"/>
      <c r="H86" s="163"/>
      <c r="T86" s="242"/>
      <c r="U86" s="242"/>
      <c r="V86" s="242"/>
      <c r="W86" s="242"/>
      <c r="X86" s="242"/>
      <c r="Y86" s="242"/>
      <c r="Z86" s="242"/>
      <c r="AA86" s="242"/>
      <c r="AB86" s="242"/>
      <c r="AC86" s="242"/>
      <c r="AD86" s="242"/>
      <c r="AE86" s="242"/>
      <c r="AF86" s="242"/>
      <c r="AG86" s="242"/>
      <c r="AH86" s="302"/>
    </row>
    <row r="87" spans="1:34" s="59" customFormat="1" ht="13" customHeight="1">
      <c r="A87" s="471"/>
      <c r="C87" s="121" t="s">
        <v>16</v>
      </c>
      <c r="D87" s="122"/>
      <c r="E87" s="122"/>
      <c r="F87" s="122"/>
      <c r="G87" s="122"/>
      <c r="H87" s="124">
        <f>SUMPRODUCT((WEEKDAY($B$14:$B$44,2)=7)*($D$14:$D$44="TD"))+SUMPRODUCT(($D$14:$D$44="TD")*($A$14:$A$44="Ft"))-SUMPRODUCT((WEEKDAY($B$14:$B$44,2)=7)*($D$14:$D$44="TD")*($A$14:$A$44="Ft"))</f>
        <v>0</v>
      </c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  <c r="AH87" s="302"/>
    </row>
    <row r="88" spans="1:34" s="59" customFormat="1" ht="13" customHeight="1">
      <c r="A88" s="471"/>
      <c r="C88" s="121" t="s">
        <v>225</v>
      </c>
      <c r="D88" s="122"/>
      <c r="E88" s="122"/>
      <c r="F88" s="122"/>
      <c r="G88" s="122"/>
      <c r="H88" s="124">
        <f>SUMPRODUCT((WEEKDAY($B$14:$B$44,2)=7)*($D$14:$D$44="TD5,5"))+SUMPRODUCT(($D$14:$D$44="TD5,5")*($A$14:$A$44="Ft"))-SUMPRODUCT((WEEKDAY($B$14:$B$44,2)=7)*($D$14:$D$44="TD5,5")*($A$14:$A$44="Ft"))</f>
        <v>0</v>
      </c>
      <c r="T88" s="242"/>
      <c r="U88" s="242"/>
      <c r="V88" s="242"/>
      <c r="W88" s="242"/>
      <c r="X88" s="242"/>
      <c r="Y88" s="242"/>
      <c r="Z88" s="242"/>
      <c r="AA88" s="242"/>
      <c r="AB88" s="242"/>
      <c r="AC88" s="242"/>
      <c r="AD88" s="242"/>
      <c r="AE88" s="242"/>
      <c r="AF88" s="242"/>
      <c r="AG88" s="242"/>
      <c r="AH88" s="302"/>
    </row>
    <row r="89" spans="1:34" s="59" customFormat="1" ht="13" customHeight="1">
      <c r="A89" s="471"/>
      <c r="C89" s="121" t="s">
        <v>88</v>
      </c>
      <c r="D89" s="122"/>
      <c r="E89" s="122"/>
      <c r="F89" s="122"/>
      <c r="G89" s="122"/>
      <c r="H89" s="124">
        <f>SUMPRODUCT((WEEKDAY($B$14:$B$44,2)=7)*($D$14:$D$44="TD6"))+SUMPRODUCT(($D$14:$D$44="TD6")*($A$14:$A$44="Ft"))-SUMPRODUCT((WEEKDAY($B$14:$B$44,2)=7)*($D$14:$D$44="TD6")*($A$14:$A$44="Ft"))</f>
        <v>0</v>
      </c>
      <c r="T89" s="242"/>
      <c r="U89" s="242"/>
      <c r="V89" s="242"/>
      <c r="W89" s="242"/>
      <c r="X89" s="242"/>
      <c r="Y89" s="242"/>
      <c r="Z89" s="242"/>
      <c r="AA89" s="242"/>
      <c r="AB89" s="242"/>
      <c r="AC89" s="242"/>
      <c r="AD89" s="242"/>
      <c r="AE89" s="242"/>
      <c r="AF89" s="242"/>
      <c r="AG89" s="242"/>
      <c r="AH89" s="302"/>
    </row>
    <row r="90" spans="1:34" s="59" customFormat="1" ht="13" customHeight="1">
      <c r="A90" s="471"/>
      <c r="C90" s="121" t="s">
        <v>184</v>
      </c>
      <c r="D90" s="122"/>
      <c r="E90" s="122"/>
      <c r="F90" s="122"/>
      <c r="G90" s="122"/>
      <c r="H90" s="124">
        <f>SUMPRODUCT((WEEKDAY($B$14:$B$44,2)=7)*($D$14:$D$44="TD6,25"))+SUMPRODUCT(($D$14:$D$44="TD6,25")*($A$14:$A$44="Ft"))-SUMPRODUCT((WEEKDAY($B$14:$B$44,2)=7)*($D$14:$D$44="TD6,25")*($A$14:$A$44="Ft"))</f>
        <v>0</v>
      </c>
      <c r="T90" s="242"/>
      <c r="U90" s="242"/>
      <c r="V90" s="242"/>
      <c r="W90" s="242"/>
      <c r="X90" s="242"/>
      <c r="Y90" s="242"/>
      <c r="Z90" s="242"/>
      <c r="AA90" s="242"/>
      <c r="AB90" s="242"/>
      <c r="AC90" s="242"/>
      <c r="AD90" s="242"/>
      <c r="AE90" s="242"/>
      <c r="AF90" s="242"/>
      <c r="AG90" s="242"/>
      <c r="AH90" s="302"/>
    </row>
    <row r="91" spans="1:34" s="59" customFormat="1" ht="13" customHeight="1">
      <c r="A91" s="471"/>
      <c r="C91" s="121" t="s">
        <v>209</v>
      </c>
      <c r="D91" s="122"/>
      <c r="E91" s="122"/>
      <c r="F91" s="122"/>
      <c r="G91" s="122"/>
      <c r="H91" s="124">
        <f>SUMPRODUCT((WEEKDAY($B$14:$B$44,2)=7)*($D$14:$D$44="TD6,5"))+SUMPRODUCT(($D$14:$D$44="TD6,5")*($A$14:$A$44="Ft"))-SUMPRODUCT((WEEKDAY($B$14:$B$44,2)=7)*($D$14:$D$44="TD6,5")*($A$14:$A$44="Ft"))</f>
        <v>0</v>
      </c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302"/>
    </row>
    <row r="92" spans="1:34" s="59" customFormat="1" ht="13" customHeight="1">
      <c r="A92" s="471"/>
      <c r="C92" s="121" t="s">
        <v>86</v>
      </c>
      <c r="D92" s="122"/>
      <c r="E92" s="122"/>
      <c r="F92" s="122"/>
      <c r="G92" s="122"/>
      <c r="H92" s="124">
        <f>SUMPRODUCT((WEEKDAY($B$14:$B$44,2)=7)*($D$14:$D$44="TD7"))+SUMPRODUCT(($D$14:$D$44="TD7")*($A$14:$A$44="Ft"))-SUMPRODUCT((WEEKDAY($B$14:$B$44,2)=7)*($D$14:$D$44="TD7")*($A$14:$A$44="Ft"))</f>
        <v>0</v>
      </c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302"/>
    </row>
    <row r="93" spans="1:34" s="59" customFormat="1" ht="13" customHeight="1">
      <c r="A93" s="471"/>
      <c r="C93" s="121" t="s">
        <v>213</v>
      </c>
      <c r="D93" s="122"/>
      <c r="E93" s="122"/>
      <c r="F93" s="122"/>
      <c r="G93" s="122"/>
      <c r="H93" s="124">
        <f>SUMPRODUCT((WEEKDAY($B$14:$B$44,2)=7)*($D$14:$D$44="TD7,5"))+SUMPRODUCT(($D$14:$D$44="TD7,5")*($A$14:$A$44="Ft"))-SUMPRODUCT((WEEKDAY($B$14:$B$44,2)=7)*($D$14:$D$44="TD7,5")*($A$14:$A$44="Ft"))</f>
        <v>0</v>
      </c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302"/>
    </row>
    <row r="94" spans="1:34" s="59" customFormat="1" ht="13" customHeight="1">
      <c r="A94" s="471"/>
      <c r="C94" s="121" t="s">
        <v>71</v>
      </c>
      <c r="D94" s="122"/>
      <c r="E94" s="122"/>
      <c r="F94" s="122"/>
      <c r="G94" s="122"/>
      <c r="H94" s="124">
        <f>SUMPRODUCT((WEEKDAY($B$14:$B$44,2)=7)*($D$14:$D$44="TD8"))+SUMPRODUCT(($D$14:$D$44="TD8")*($A$14:$A$44="Ft"))-SUMPRODUCT((WEEKDAY($B$14:$B$44,2)=7)*($D$14:$D$44="TD8")*($A$14:$A$44="Ft"))</f>
        <v>0</v>
      </c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42"/>
      <c r="AG94" s="242"/>
      <c r="AH94" s="302"/>
    </row>
    <row r="95" spans="1:34" s="59" customFormat="1" ht="13" customHeight="1">
      <c r="A95" s="471"/>
      <c r="C95" s="121" t="s">
        <v>214</v>
      </c>
      <c r="D95" s="122"/>
      <c r="E95" s="122"/>
      <c r="F95" s="122"/>
      <c r="G95" s="122"/>
      <c r="H95" s="124">
        <f>SUMPRODUCT((WEEKDAY($B$14:$B$44,2)=7)*($D$14:$D$44="TD8,5"))+SUMPRODUCT(($D$14:$D$44="TD8,5")*($A$14:$A$44="Ft"))-SUMPRODUCT((WEEKDAY($B$14:$B$44,2)=7)*($D$14:$D$44="TD8,5")*($A$14:$A$44="Ft"))</f>
        <v>0</v>
      </c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302"/>
    </row>
    <row r="96" spans="1:34" ht="13" customHeight="1">
      <c r="C96" s="121" t="s">
        <v>84</v>
      </c>
      <c r="D96" s="122"/>
      <c r="E96" s="122"/>
      <c r="F96" s="122"/>
      <c r="G96" s="122"/>
      <c r="H96" s="12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21" t="s">
        <v>215</v>
      </c>
      <c r="D97" s="122"/>
      <c r="E97" s="122"/>
      <c r="F97" s="122"/>
      <c r="G97" s="122"/>
      <c r="H97" s="12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21" t="s">
        <v>413</v>
      </c>
      <c r="D98" s="122"/>
      <c r="E98" s="122"/>
      <c r="F98" s="122"/>
      <c r="G98" s="122"/>
      <c r="H98" s="12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21" t="s">
        <v>216</v>
      </c>
      <c r="D99" s="122"/>
      <c r="E99" s="122"/>
      <c r="F99" s="122"/>
      <c r="G99" s="122"/>
      <c r="H99" s="12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21" t="s">
        <v>217</v>
      </c>
      <c r="D100" s="122"/>
      <c r="E100" s="122"/>
      <c r="F100" s="122"/>
      <c r="G100" s="122"/>
      <c r="H100" s="12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21" t="s">
        <v>210</v>
      </c>
      <c r="D101" s="122"/>
      <c r="E101" s="122"/>
      <c r="F101" s="122"/>
      <c r="G101" s="122"/>
      <c r="H101" s="12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21" t="s">
        <v>218</v>
      </c>
      <c r="D102" s="122"/>
      <c r="E102" s="122"/>
      <c r="F102" s="122"/>
      <c r="G102" s="122"/>
      <c r="H102" s="12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21" t="s">
        <v>119</v>
      </c>
      <c r="D103" s="122"/>
      <c r="E103" s="122"/>
      <c r="F103" s="122"/>
      <c r="G103" s="122"/>
      <c r="H103" s="12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62" t="s">
        <v>149</v>
      </c>
      <c r="D104" s="263"/>
      <c r="E104" s="263"/>
      <c r="F104" s="263"/>
      <c r="G104" s="263"/>
      <c r="H104" s="162"/>
    </row>
    <row r="105" spans="3:8" ht="13" customHeight="1">
      <c r="C105" s="121" t="s">
        <v>153</v>
      </c>
      <c r="D105" s="122"/>
      <c r="E105" s="122"/>
      <c r="F105" s="122"/>
      <c r="G105" s="122"/>
      <c r="H105" s="124">
        <f>SUMPRODUCT((WEEKDAY($B$13:$B$43,2)=6)*($D$13:$D$43="ND12,5"))-SUMPRODUCT((WEEKDAY($B$13:$B$43,2)=6)*($D$13:$D$43="ND12,5")*($A$13:$A$43="Ft"))</f>
        <v>0</v>
      </c>
    </row>
    <row r="106" spans="3:8">
      <c r="C106" s="121" t="s">
        <v>150</v>
      </c>
      <c r="D106" s="125"/>
      <c r="E106" s="125"/>
      <c r="F106" s="125"/>
      <c r="G106" s="125"/>
      <c r="H106" s="124">
        <f>SUMPRODUCT((WEEKDAY($B$14:$B$44,2)=7)*($D$14:$D$44="ND12,5"))-SUMPRODUCT((WEEKDAY($B$14:$B$44,2)=7)*($D$14:$D$44="ND12,5")*($A$14:$A$44="Ft"))</f>
        <v>0</v>
      </c>
    </row>
    <row r="107" spans="3:8">
      <c r="C107" s="121" t="s">
        <v>151</v>
      </c>
      <c r="D107" s="125"/>
      <c r="E107" s="125"/>
      <c r="F107" s="125"/>
      <c r="G107" s="125"/>
      <c r="H107" s="124">
        <f>SUMPRODUCT(($D$14:$D$44="ND12,5")*($A$14:$A$44="Ft"))</f>
        <v>0</v>
      </c>
    </row>
    <row r="108" spans="3:8">
      <c r="C108" s="121" t="s">
        <v>155</v>
      </c>
      <c r="D108" s="125"/>
      <c r="E108" s="125"/>
      <c r="F108" s="125"/>
      <c r="G108" s="125"/>
      <c r="H108" s="12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21" t="s">
        <v>156</v>
      </c>
      <c r="D109" s="125"/>
      <c r="E109" s="125"/>
      <c r="F109" s="125"/>
      <c r="G109" s="125"/>
      <c r="H109" s="124">
        <f>SUMPRODUCT(($A$13:$A$43="Ft")*($D$13:$D$43="ND12,5")*($A$14:$A$44="Ft"))</f>
        <v>0</v>
      </c>
    </row>
    <row r="110" spans="3:8">
      <c r="C110" s="121" t="s">
        <v>157</v>
      </c>
      <c r="D110" s="125"/>
      <c r="E110" s="125"/>
      <c r="F110" s="125"/>
      <c r="G110" s="125"/>
      <c r="H110" s="12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26" t="s">
        <v>154</v>
      </c>
      <c r="D111" s="161"/>
      <c r="E111" s="161"/>
      <c r="F111" s="161"/>
      <c r="G111" s="161"/>
      <c r="H111" s="199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kqQaD7sTW1sGD5LmnZy0yn4c9zJusp1j/TIBGv1Uh3uZfx0jrPu2ruonCTFYWRyXc1Hl65H0Z+JkZR37N5HG0g==" saltValue="+mDCAdvlDXZh+mhPpRFZZw==" spinCount="100000" sheet="1" selectLockedCells="1"/>
  <mergeCells count="63">
    <mergeCell ref="N70:O70"/>
    <mergeCell ref="N71:O71"/>
    <mergeCell ref="N72:O72"/>
    <mergeCell ref="N62:O62"/>
    <mergeCell ref="N64:P65"/>
    <mergeCell ref="N66:O66"/>
    <mergeCell ref="N69:O69"/>
    <mergeCell ref="N67:O67"/>
    <mergeCell ref="N68:O68"/>
    <mergeCell ref="N63:O63"/>
    <mergeCell ref="B9:C11"/>
    <mergeCell ref="D9:D11"/>
    <mergeCell ref="N58:P59"/>
    <mergeCell ref="N61:O61"/>
    <mergeCell ref="C50:D50"/>
    <mergeCell ref="G54:I54"/>
    <mergeCell ref="N50:P51"/>
    <mergeCell ref="N52:O52"/>
    <mergeCell ref="N53:O53"/>
    <mergeCell ref="N54:O54"/>
    <mergeCell ref="N60:O60"/>
    <mergeCell ref="L47:O47"/>
    <mergeCell ref="E9:E11"/>
    <mergeCell ref="F9:G10"/>
    <mergeCell ref="H9:I10"/>
    <mergeCell ref="J9:J11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AG10:AG11"/>
    <mergeCell ref="S9:S11"/>
    <mergeCell ref="Q9:Q11"/>
    <mergeCell ref="R9:R11"/>
    <mergeCell ref="L9:L11"/>
    <mergeCell ref="M9:M11"/>
    <mergeCell ref="N9:N11"/>
    <mergeCell ref="O9:O11"/>
    <mergeCell ref="P9:P11"/>
    <mergeCell ref="AF10:AF11"/>
    <mergeCell ref="U10:Y10"/>
    <mergeCell ref="AA10:AE10"/>
    <mergeCell ref="L48:O48"/>
    <mergeCell ref="N55:O55"/>
    <mergeCell ref="N56:O56"/>
    <mergeCell ref="N57:O57"/>
    <mergeCell ref="K5:M5"/>
    <mergeCell ref="K6:M6"/>
    <mergeCell ref="N6:P6"/>
    <mergeCell ref="N5:P5"/>
    <mergeCell ref="K8:M8"/>
    <mergeCell ref="N8:P8"/>
    <mergeCell ref="K7:M7"/>
    <mergeCell ref="N7:P7"/>
    <mergeCell ref="N13:O13"/>
    <mergeCell ref="K9:K11"/>
  </mergeCells>
  <conditionalFormatting sqref="A13:A44">
    <cfRule type="cellIs" dxfId="339" priority="8" operator="equal">
      <formula>"HFT"</formula>
    </cfRule>
    <cfRule type="cellIs" dxfId="338" priority="9" operator="equal">
      <formula>"FT"</formula>
    </cfRule>
  </conditionalFormatting>
  <conditionalFormatting sqref="A45">
    <cfRule type="cellIs" dxfId="337" priority="287" operator="equal">
      <formula>"Ft"</formula>
    </cfRule>
  </conditionalFormatting>
  <conditionalFormatting sqref="B13:C44">
    <cfRule type="expression" dxfId="336" priority="288">
      <formula>WEEKDAY($C13,2)&gt;5</formula>
    </cfRule>
  </conditionalFormatting>
  <conditionalFormatting sqref="E8">
    <cfRule type="cellIs" dxfId="334" priority="43" operator="greaterThan">
      <formula>48</formula>
    </cfRule>
  </conditionalFormatting>
  <conditionalFormatting sqref="I47:K47">
    <cfRule type="cellIs" dxfId="333" priority="116" operator="equal">
      <formula>"Wochenarbeitszeit überschritten"</formula>
    </cfRule>
  </conditionalFormatting>
  <conditionalFormatting sqref="J45:P45">
    <cfRule type="cellIs" dxfId="332" priority="159" operator="equal">
      <formula>0</formula>
    </cfRule>
  </conditionalFormatting>
  <conditionalFormatting sqref="K8">
    <cfRule type="cellIs" dxfId="331" priority="208" operator="lessThan">
      <formula>$N$8</formula>
    </cfRule>
    <cfRule type="cellIs" dxfId="330" priority="206" operator="equal">
      <formula>$N$8</formula>
    </cfRule>
    <cfRule type="cellIs" dxfId="329" priority="207" operator="greaterThan">
      <formula>$N$8</formula>
    </cfRule>
  </conditionalFormatting>
  <conditionalFormatting sqref="K14:K44">
    <cfRule type="cellIs" dxfId="328" priority="31" operator="lessThanOrEqual">
      <formula>0</formula>
    </cfRule>
    <cfRule type="cellIs" dxfId="327" priority="32" operator="greaterThan">
      <formula>0</formula>
    </cfRule>
  </conditionalFormatting>
  <conditionalFormatting sqref="K45">
    <cfRule type="cellIs" dxfId="326" priority="235" operator="lessThan">
      <formula>0</formula>
    </cfRule>
  </conditionalFormatting>
  <conditionalFormatting sqref="N14:O44">
    <cfRule type="cellIs" dxfId="325" priority="11" operator="equal">
      <formula>0</formula>
    </cfRule>
  </conditionalFormatting>
  <conditionalFormatting sqref="P13:P44">
    <cfRule type="cellIs" dxfId="324" priority="2" operator="equal">
      <formula>0</formula>
    </cfRule>
  </conditionalFormatting>
  <conditionalFormatting sqref="P60:P63">
    <cfRule type="cellIs" dxfId="323" priority="58" operator="lessThan">
      <formula>0</formula>
    </cfRule>
  </conditionalFormatting>
  <conditionalFormatting sqref="Q47">
    <cfRule type="cellIs" dxfId="322" priority="47" operator="equal">
      <formula>0</formula>
    </cfRule>
  </conditionalFormatting>
  <conditionalFormatting sqref="T14:T44">
    <cfRule type="cellIs" dxfId="321" priority="267" operator="equal">
      <formula>0</formula>
    </cfRule>
  </conditionalFormatting>
  <conditionalFormatting sqref="T45:W45">
    <cfRule type="cellIs" dxfId="320" priority="153" operator="equal">
      <formula>0</formula>
    </cfRule>
  </conditionalFormatting>
  <conditionalFormatting sqref="T51:W51">
    <cfRule type="cellIs" dxfId="319" priority="25" operator="equal">
      <formula>0</formula>
    </cfRule>
  </conditionalFormatting>
  <conditionalFormatting sqref="U15:W44">
    <cfRule type="cellIs" dxfId="318" priority="240" operator="equal">
      <formula>0</formula>
    </cfRule>
  </conditionalFormatting>
  <conditionalFormatting sqref="U51:Y53">
    <cfRule type="cellIs" dxfId="317" priority="15" operator="equal">
      <formula>0</formula>
    </cfRule>
  </conditionalFormatting>
  <conditionalFormatting sqref="V14">
    <cfRule type="cellIs" dxfId="316" priority="268" operator="equal">
      <formula>0</formula>
    </cfRule>
  </conditionalFormatting>
  <conditionalFormatting sqref="V13:W13">
    <cfRule type="cellIs" dxfId="315" priority="169" operator="equal">
      <formula>0</formula>
    </cfRule>
  </conditionalFormatting>
  <conditionalFormatting sqref="W52">
    <cfRule type="cellIs" dxfId="314" priority="19" operator="equal">
      <formula>0</formula>
    </cfRule>
  </conditionalFormatting>
  <conditionalFormatting sqref="X13:Y45">
    <cfRule type="cellIs" dxfId="313" priority="59" operator="equal">
      <formula>0</formula>
    </cfRule>
  </conditionalFormatting>
  <conditionalFormatting sqref="Z13:Z44">
    <cfRule type="cellIs" dxfId="312" priority="170" operator="equal">
      <formula>0</formula>
    </cfRule>
  </conditionalFormatting>
  <conditionalFormatting sqref="Z51:AC51">
    <cfRule type="cellIs" dxfId="311" priority="23" operator="equal">
      <formula>0</formula>
    </cfRule>
  </conditionalFormatting>
  <conditionalFormatting sqref="Z45:AD45">
    <cfRule type="cellIs" dxfId="310" priority="151" operator="equal">
      <formula>0</formula>
    </cfRule>
  </conditionalFormatting>
  <conditionalFormatting sqref="AA14:AB44">
    <cfRule type="cellIs" dxfId="309" priority="33" operator="equal">
      <formula>0</formula>
    </cfRule>
  </conditionalFormatting>
  <conditionalFormatting sqref="AA51:AE52">
    <cfRule type="cellIs" dxfId="308" priority="5" operator="equal">
      <formula>0</formula>
    </cfRule>
  </conditionalFormatting>
  <conditionalFormatting sqref="AC13:AD44">
    <cfRule type="cellIs" dxfId="307" priority="124" operator="equal">
      <formula>0</formula>
    </cfRule>
  </conditionalFormatting>
  <conditionalFormatting sqref="AE13:AE45">
    <cfRule type="cellIs" dxfId="306" priority="1" operator="equal">
      <formula>0</formula>
    </cfRule>
  </conditionalFormatting>
  <conditionalFormatting sqref="AF13:AG44">
    <cfRule type="cellIs" dxfId="305" priority="73" operator="equal">
      <formula>0</formula>
    </cfRule>
  </conditionalFormatting>
  <conditionalFormatting sqref="AG51:AH51">
    <cfRule type="cellIs" dxfId="304" priority="14" operator="equal">
      <formula>0</formula>
    </cfRule>
  </conditionalFormatting>
  <conditionalFormatting sqref="AH14:AH44">
    <cfRule type="cellIs" dxfId="303" priority="28" operator="equal">
      <formula>0</formula>
    </cfRule>
  </conditionalFormatting>
  <conditionalFormatting sqref="AH51:AH52">
    <cfRule type="cellIs" dxfId="302" priority="12" operator="equal">
      <formula>0</formula>
    </cfRule>
  </conditionalFormatting>
  <dataValidations count="4">
    <dataValidation type="list" allowBlank="1" showInputMessage="1" showErrorMessage="1" sqref="J14:J44" xr:uid="{C0A66E31-0DE1-42B5-817A-B71522D14C2E}">
      <formula1>AbwesenheitenStunden</formula1>
    </dataValidation>
    <dataValidation type="list" allowBlank="1" showInputMessage="1" showErrorMessage="1" error="Die Eingabe ist unzulässig_x000a_Bitte Drop Down Felder verwenden" sqref="F14:G44" xr:uid="{D2FB4094-D23E-4DF2-B3C7-3F0C1F505661}">
      <formula1>Zeiten1</formula1>
    </dataValidation>
    <dataValidation type="decimal" allowBlank="1" showInputMessage="1" showErrorMessage="1" error="Die ausgewählte Stundenanzahl steht nicht zur Verfügung!" sqref="J54" xr:uid="{DD6DBD87-BA9A-419A-9C01-AEC2D898DA6C}">
      <formula1>0</formula1>
      <formula2>K54</formula2>
    </dataValidation>
    <dataValidation type="list" allowBlank="1" showInputMessage="1" showErrorMessage="1" sqref="H14:I44" xr:uid="{A3B8AB1F-11FB-4E6B-90B5-45FB26C066DA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90" id="{AE3FD682-242E-48BE-AF23-9A155B9F0B4B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7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CFA5173A-F799-4BB4-B817-CFC536CDFF59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DA3FF8AB-42FD-4F1D-BAFB-E9719A1A4C04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A8A93AA0-9E11-41E0-A678-6F10818A8153}">
          <x14:formula1>
            <xm:f>Datenblatt!$D$58:$D$59</xm:f>
          </x14:formula1>
          <xm:sqref>P47 J58</xm:sqref>
        </x14:dataValidation>
        <x14:dataValidation type="list" allowBlank="1" showInputMessage="1" showErrorMessage="1" xr:uid="{D55B2E0B-3596-4B88-B470-1B5F9D69037E}">
          <x14:formula1>
            <xm:f>Datenblatt!$D$52:$D$53</xm:f>
          </x14:formula1>
          <xm:sqref>P48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71" customWidth="1"/>
    <col min="2" max="2" width="3.1640625" style="56" customWidth="1"/>
    <col min="3" max="3" width="8.83203125" style="56" customWidth="1"/>
    <col min="4" max="5" width="9.83203125" style="56" customWidth="1"/>
    <col min="6" max="10" width="9.1640625" style="56" customWidth="1"/>
    <col min="11" max="16" width="8.83203125" style="56" customWidth="1"/>
    <col min="17" max="17" width="23.5" style="66" customWidth="1"/>
    <col min="18" max="18" width="36.5" style="66" customWidth="1"/>
    <col min="19" max="19" width="43.5" style="56" customWidth="1"/>
    <col min="20" max="33" width="7.1640625" style="234" customWidth="1"/>
    <col min="34" max="34" width="7.1640625" style="301" customWidth="1"/>
    <col min="35" max="264" width="11.5" style="56"/>
    <col min="265" max="265" width="0.5" style="56" customWidth="1"/>
    <col min="266" max="266" width="3.1640625" style="56" customWidth="1"/>
    <col min="267" max="267" width="8.83203125" style="56" customWidth="1"/>
    <col min="268" max="268" width="14.83203125" style="56" customWidth="1"/>
    <col min="269" max="270" width="6.5" style="56" customWidth="1"/>
    <col min="271" max="271" width="14.83203125" style="56" customWidth="1"/>
    <col min="272" max="273" width="11.5" style="56" customWidth="1"/>
    <col min="274" max="274" width="6.1640625" style="56" customWidth="1"/>
    <col min="275" max="275" width="22.83203125" style="56" customWidth="1"/>
    <col min="276" max="276" width="11.5" style="56" customWidth="1"/>
    <col min="277" max="277" width="13.83203125" style="56" customWidth="1"/>
    <col min="278" max="278" width="5.83203125" style="56" customWidth="1"/>
    <col min="279" max="279" width="15.5" style="56" customWidth="1"/>
    <col min="280" max="520" width="11.5" style="56"/>
    <col min="521" max="521" width="0.5" style="56" customWidth="1"/>
    <col min="522" max="522" width="3.1640625" style="56" customWidth="1"/>
    <col min="523" max="523" width="8.83203125" style="56" customWidth="1"/>
    <col min="524" max="524" width="14.83203125" style="56" customWidth="1"/>
    <col min="525" max="526" width="6.5" style="56" customWidth="1"/>
    <col min="527" max="527" width="14.83203125" style="56" customWidth="1"/>
    <col min="528" max="529" width="11.5" style="56" customWidth="1"/>
    <col min="530" max="530" width="6.1640625" style="56" customWidth="1"/>
    <col min="531" max="531" width="22.83203125" style="56" customWidth="1"/>
    <col min="532" max="532" width="11.5" style="56" customWidth="1"/>
    <col min="533" max="533" width="13.83203125" style="56" customWidth="1"/>
    <col min="534" max="534" width="5.83203125" style="56" customWidth="1"/>
    <col min="535" max="535" width="15.5" style="56" customWidth="1"/>
    <col min="536" max="776" width="11.5" style="56"/>
    <col min="777" max="777" width="0.5" style="56" customWidth="1"/>
    <col min="778" max="778" width="3.1640625" style="56" customWidth="1"/>
    <col min="779" max="779" width="8.83203125" style="56" customWidth="1"/>
    <col min="780" max="780" width="14.83203125" style="56" customWidth="1"/>
    <col min="781" max="782" width="6.5" style="56" customWidth="1"/>
    <col min="783" max="783" width="14.83203125" style="56" customWidth="1"/>
    <col min="784" max="785" width="11.5" style="56" customWidth="1"/>
    <col min="786" max="786" width="6.1640625" style="56" customWidth="1"/>
    <col min="787" max="787" width="22.83203125" style="56" customWidth="1"/>
    <col min="788" max="788" width="11.5" style="56" customWidth="1"/>
    <col min="789" max="789" width="13.83203125" style="56" customWidth="1"/>
    <col min="790" max="790" width="5.83203125" style="56" customWidth="1"/>
    <col min="791" max="791" width="15.5" style="56" customWidth="1"/>
    <col min="792" max="1032" width="11.5" style="56"/>
    <col min="1033" max="1033" width="0.5" style="56" customWidth="1"/>
    <col min="1034" max="1034" width="3.1640625" style="56" customWidth="1"/>
    <col min="1035" max="1035" width="8.83203125" style="56" customWidth="1"/>
    <col min="1036" max="1036" width="14.83203125" style="56" customWidth="1"/>
    <col min="1037" max="1038" width="6.5" style="56" customWidth="1"/>
    <col min="1039" max="1039" width="14.83203125" style="56" customWidth="1"/>
    <col min="1040" max="1041" width="11.5" style="56" customWidth="1"/>
    <col min="1042" max="1042" width="6.1640625" style="56" customWidth="1"/>
    <col min="1043" max="1043" width="22.83203125" style="56" customWidth="1"/>
    <col min="1044" max="1044" width="11.5" style="56" customWidth="1"/>
    <col min="1045" max="1045" width="13.83203125" style="56" customWidth="1"/>
    <col min="1046" max="1046" width="5.83203125" style="56" customWidth="1"/>
    <col min="1047" max="1047" width="15.5" style="56" customWidth="1"/>
    <col min="1048" max="1288" width="11.5" style="56"/>
    <col min="1289" max="1289" width="0.5" style="56" customWidth="1"/>
    <col min="1290" max="1290" width="3.1640625" style="56" customWidth="1"/>
    <col min="1291" max="1291" width="8.83203125" style="56" customWidth="1"/>
    <col min="1292" max="1292" width="14.83203125" style="56" customWidth="1"/>
    <col min="1293" max="1294" width="6.5" style="56" customWidth="1"/>
    <col min="1295" max="1295" width="14.83203125" style="56" customWidth="1"/>
    <col min="1296" max="1297" width="11.5" style="56" customWidth="1"/>
    <col min="1298" max="1298" width="6.1640625" style="56" customWidth="1"/>
    <col min="1299" max="1299" width="22.83203125" style="56" customWidth="1"/>
    <col min="1300" max="1300" width="11.5" style="56" customWidth="1"/>
    <col min="1301" max="1301" width="13.83203125" style="56" customWidth="1"/>
    <col min="1302" max="1302" width="5.83203125" style="56" customWidth="1"/>
    <col min="1303" max="1303" width="15.5" style="56" customWidth="1"/>
    <col min="1304" max="1544" width="11.5" style="56"/>
    <col min="1545" max="1545" width="0.5" style="56" customWidth="1"/>
    <col min="1546" max="1546" width="3.1640625" style="56" customWidth="1"/>
    <col min="1547" max="1547" width="8.83203125" style="56" customWidth="1"/>
    <col min="1548" max="1548" width="14.83203125" style="56" customWidth="1"/>
    <col min="1549" max="1550" width="6.5" style="56" customWidth="1"/>
    <col min="1551" max="1551" width="14.83203125" style="56" customWidth="1"/>
    <col min="1552" max="1553" width="11.5" style="56" customWidth="1"/>
    <col min="1554" max="1554" width="6.1640625" style="56" customWidth="1"/>
    <col min="1555" max="1555" width="22.83203125" style="56" customWidth="1"/>
    <col min="1556" max="1556" width="11.5" style="56" customWidth="1"/>
    <col min="1557" max="1557" width="13.83203125" style="56" customWidth="1"/>
    <col min="1558" max="1558" width="5.83203125" style="56" customWidth="1"/>
    <col min="1559" max="1559" width="15.5" style="56" customWidth="1"/>
    <col min="1560" max="1800" width="11.5" style="56"/>
    <col min="1801" max="1801" width="0.5" style="56" customWidth="1"/>
    <col min="1802" max="1802" width="3.1640625" style="56" customWidth="1"/>
    <col min="1803" max="1803" width="8.83203125" style="56" customWidth="1"/>
    <col min="1804" max="1804" width="14.83203125" style="56" customWidth="1"/>
    <col min="1805" max="1806" width="6.5" style="56" customWidth="1"/>
    <col min="1807" max="1807" width="14.83203125" style="56" customWidth="1"/>
    <col min="1808" max="1809" width="11.5" style="56" customWidth="1"/>
    <col min="1810" max="1810" width="6.1640625" style="56" customWidth="1"/>
    <col min="1811" max="1811" width="22.83203125" style="56" customWidth="1"/>
    <col min="1812" max="1812" width="11.5" style="56" customWidth="1"/>
    <col min="1813" max="1813" width="13.83203125" style="56" customWidth="1"/>
    <col min="1814" max="1814" width="5.83203125" style="56" customWidth="1"/>
    <col min="1815" max="1815" width="15.5" style="56" customWidth="1"/>
    <col min="1816" max="2056" width="11.5" style="56"/>
    <col min="2057" max="2057" width="0.5" style="56" customWidth="1"/>
    <col min="2058" max="2058" width="3.1640625" style="56" customWidth="1"/>
    <col min="2059" max="2059" width="8.83203125" style="56" customWidth="1"/>
    <col min="2060" max="2060" width="14.83203125" style="56" customWidth="1"/>
    <col min="2061" max="2062" width="6.5" style="56" customWidth="1"/>
    <col min="2063" max="2063" width="14.83203125" style="56" customWidth="1"/>
    <col min="2064" max="2065" width="11.5" style="56" customWidth="1"/>
    <col min="2066" max="2066" width="6.1640625" style="56" customWidth="1"/>
    <col min="2067" max="2067" width="22.83203125" style="56" customWidth="1"/>
    <col min="2068" max="2068" width="11.5" style="56" customWidth="1"/>
    <col min="2069" max="2069" width="13.83203125" style="56" customWidth="1"/>
    <col min="2070" max="2070" width="5.83203125" style="56" customWidth="1"/>
    <col min="2071" max="2071" width="15.5" style="56" customWidth="1"/>
    <col min="2072" max="2312" width="11.5" style="56"/>
    <col min="2313" max="2313" width="0.5" style="56" customWidth="1"/>
    <col min="2314" max="2314" width="3.1640625" style="56" customWidth="1"/>
    <col min="2315" max="2315" width="8.83203125" style="56" customWidth="1"/>
    <col min="2316" max="2316" width="14.83203125" style="56" customWidth="1"/>
    <col min="2317" max="2318" width="6.5" style="56" customWidth="1"/>
    <col min="2319" max="2319" width="14.83203125" style="56" customWidth="1"/>
    <col min="2320" max="2321" width="11.5" style="56" customWidth="1"/>
    <col min="2322" max="2322" width="6.1640625" style="56" customWidth="1"/>
    <col min="2323" max="2323" width="22.83203125" style="56" customWidth="1"/>
    <col min="2324" max="2324" width="11.5" style="56" customWidth="1"/>
    <col min="2325" max="2325" width="13.83203125" style="56" customWidth="1"/>
    <col min="2326" max="2326" width="5.83203125" style="56" customWidth="1"/>
    <col min="2327" max="2327" width="15.5" style="56" customWidth="1"/>
    <col min="2328" max="2568" width="11.5" style="56"/>
    <col min="2569" max="2569" width="0.5" style="56" customWidth="1"/>
    <col min="2570" max="2570" width="3.1640625" style="56" customWidth="1"/>
    <col min="2571" max="2571" width="8.83203125" style="56" customWidth="1"/>
    <col min="2572" max="2572" width="14.83203125" style="56" customWidth="1"/>
    <col min="2573" max="2574" width="6.5" style="56" customWidth="1"/>
    <col min="2575" max="2575" width="14.83203125" style="56" customWidth="1"/>
    <col min="2576" max="2577" width="11.5" style="56" customWidth="1"/>
    <col min="2578" max="2578" width="6.1640625" style="56" customWidth="1"/>
    <col min="2579" max="2579" width="22.83203125" style="56" customWidth="1"/>
    <col min="2580" max="2580" width="11.5" style="56" customWidth="1"/>
    <col min="2581" max="2581" width="13.83203125" style="56" customWidth="1"/>
    <col min="2582" max="2582" width="5.83203125" style="56" customWidth="1"/>
    <col min="2583" max="2583" width="15.5" style="56" customWidth="1"/>
    <col min="2584" max="2824" width="11.5" style="56"/>
    <col min="2825" max="2825" width="0.5" style="56" customWidth="1"/>
    <col min="2826" max="2826" width="3.1640625" style="56" customWidth="1"/>
    <col min="2827" max="2827" width="8.83203125" style="56" customWidth="1"/>
    <col min="2828" max="2828" width="14.83203125" style="56" customWidth="1"/>
    <col min="2829" max="2830" width="6.5" style="56" customWidth="1"/>
    <col min="2831" max="2831" width="14.83203125" style="56" customWidth="1"/>
    <col min="2832" max="2833" width="11.5" style="56" customWidth="1"/>
    <col min="2834" max="2834" width="6.1640625" style="56" customWidth="1"/>
    <col min="2835" max="2835" width="22.83203125" style="56" customWidth="1"/>
    <col min="2836" max="2836" width="11.5" style="56" customWidth="1"/>
    <col min="2837" max="2837" width="13.83203125" style="56" customWidth="1"/>
    <col min="2838" max="2838" width="5.83203125" style="56" customWidth="1"/>
    <col min="2839" max="2839" width="15.5" style="56" customWidth="1"/>
    <col min="2840" max="3080" width="11.5" style="56"/>
    <col min="3081" max="3081" width="0.5" style="56" customWidth="1"/>
    <col min="3082" max="3082" width="3.1640625" style="56" customWidth="1"/>
    <col min="3083" max="3083" width="8.83203125" style="56" customWidth="1"/>
    <col min="3084" max="3084" width="14.83203125" style="56" customWidth="1"/>
    <col min="3085" max="3086" width="6.5" style="56" customWidth="1"/>
    <col min="3087" max="3087" width="14.83203125" style="56" customWidth="1"/>
    <col min="3088" max="3089" width="11.5" style="56" customWidth="1"/>
    <col min="3090" max="3090" width="6.1640625" style="56" customWidth="1"/>
    <col min="3091" max="3091" width="22.83203125" style="56" customWidth="1"/>
    <col min="3092" max="3092" width="11.5" style="56" customWidth="1"/>
    <col min="3093" max="3093" width="13.83203125" style="56" customWidth="1"/>
    <col min="3094" max="3094" width="5.83203125" style="56" customWidth="1"/>
    <col min="3095" max="3095" width="15.5" style="56" customWidth="1"/>
    <col min="3096" max="3336" width="11.5" style="56"/>
    <col min="3337" max="3337" width="0.5" style="56" customWidth="1"/>
    <col min="3338" max="3338" width="3.1640625" style="56" customWidth="1"/>
    <col min="3339" max="3339" width="8.83203125" style="56" customWidth="1"/>
    <col min="3340" max="3340" width="14.83203125" style="56" customWidth="1"/>
    <col min="3341" max="3342" width="6.5" style="56" customWidth="1"/>
    <col min="3343" max="3343" width="14.83203125" style="56" customWidth="1"/>
    <col min="3344" max="3345" width="11.5" style="56" customWidth="1"/>
    <col min="3346" max="3346" width="6.1640625" style="56" customWidth="1"/>
    <col min="3347" max="3347" width="22.83203125" style="56" customWidth="1"/>
    <col min="3348" max="3348" width="11.5" style="56" customWidth="1"/>
    <col min="3349" max="3349" width="13.83203125" style="56" customWidth="1"/>
    <col min="3350" max="3350" width="5.83203125" style="56" customWidth="1"/>
    <col min="3351" max="3351" width="15.5" style="56" customWidth="1"/>
    <col min="3352" max="3592" width="11.5" style="56"/>
    <col min="3593" max="3593" width="0.5" style="56" customWidth="1"/>
    <col min="3594" max="3594" width="3.1640625" style="56" customWidth="1"/>
    <col min="3595" max="3595" width="8.83203125" style="56" customWidth="1"/>
    <col min="3596" max="3596" width="14.83203125" style="56" customWidth="1"/>
    <col min="3597" max="3598" width="6.5" style="56" customWidth="1"/>
    <col min="3599" max="3599" width="14.83203125" style="56" customWidth="1"/>
    <col min="3600" max="3601" width="11.5" style="56" customWidth="1"/>
    <col min="3602" max="3602" width="6.1640625" style="56" customWidth="1"/>
    <col min="3603" max="3603" width="22.83203125" style="56" customWidth="1"/>
    <col min="3604" max="3604" width="11.5" style="56" customWidth="1"/>
    <col min="3605" max="3605" width="13.83203125" style="56" customWidth="1"/>
    <col min="3606" max="3606" width="5.83203125" style="56" customWidth="1"/>
    <col min="3607" max="3607" width="15.5" style="56" customWidth="1"/>
    <col min="3608" max="3848" width="11.5" style="56"/>
    <col min="3849" max="3849" width="0.5" style="56" customWidth="1"/>
    <col min="3850" max="3850" width="3.1640625" style="56" customWidth="1"/>
    <col min="3851" max="3851" width="8.83203125" style="56" customWidth="1"/>
    <col min="3852" max="3852" width="14.83203125" style="56" customWidth="1"/>
    <col min="3853" max="3854" width="6.5" style="56" customWidth="1"/>
    <col min="3855" max="3855" width="14.83203125" style="56" customWidth="1"/>
    <col min="3856" max="3857" width="11.5" style="56" customWidth="1"/>
    <col min="3858" max="3858" width="6.1640625" style="56" customWidth="1"/>
    <col min="3859" max="3859" width="22.83203125" style="56" customWidth="1"/>
    <col min="3860" max="3860" width="11.5" style="56" customWidth="1"/>
    <col min="3861" max="3861" width="13.83203125" style="56" customWidth="1"/>
    <col min="3862" max="3862" width="5.83203125" style="56" customWidth="1"/>
    <col min="3863" max="3863" width="15.5" style="56" customWidth="1"/>
    <col min="3864" max="4104" width="11.5" style="56"/>
    <col min="4105" max="4105" width="0.5" style="56" customWidth="1"/>
    <col min="4106" max="4106" width="3.1640625" style="56" customWidth="1"/>
    <col min="4107" max="4107" width="8.83203125" style="56" customWidth="1"/>
    <col min="4108" max="4108" width="14.83203125" style="56" customWidth="1"/>
    <col min="4109" max="4110" width="6.5" style="56" customWidth="1"/>
    <col min="4111" max="4111" width="14.83203125" style="56" customWidth="1"/>
    <col min="4112" max="4113" width="11.5" style="56" customWidth="1"/>
    <col min="4114" max="4114" width="6.1640625" style="56" customWidth="1"/>
    <col min="4115" max="4115" width="22.83203125" style="56" customWidth="1"/>
    <col min="4116" max="4116" width="11.5" style="56" customWidth="1"/>
    <col min="4117" max="4117" width="13.83203125" style="56" customWidth="1"/>
    <col min="4118" max="4118" width="5.83203125" style="56" customWidth="1"/>
    <col min="4119" max="4119" width="15.5" style="56" customWidth="1"/>
    <col min="4120" max="4360" width="11.5" style="56"/>
    <col min="4361" max="4361" width="0.5" style="56" customWidth="1"/>
    <col min="4362" max="4362" width="3.1640625" style="56" customWidth="1"/>
    <col min="4363" max="4363" width="8.83203125" style="56" customWidth="1"/>
    <col min="4364" max="4364" width="14.83203125" style="56" customWidth="1"/>
    <col min="4365" max="4366" width="6.5" style="56" customWidth="1"/>
    <col min="4367" max="4367" width="14.83203125" style="56" customWidth="1"/>
    <col min="4368" max="4369" width="11.5" style="56" customWidth="1"/>
    <col min="4370" max="4370" width="6.1640625" style="56" customWidth="1"/>
    <col min="4371" max="4371" width="22.83203125" style="56" customWidth="1"/>
    <col min="4372" max="4372" width="11.5" style="56" customWidth="1"/>
    <col min="4373" max="4373" width="13.83203125" style="56" customWidth="1"/>
    <col min="4374" max="4374" width="5.83203125" style="56" customWidth="1"/>
    <col min="4375" max="4375" width="15.5" style="56" customWidth="1"/>
    <col min="4376" max="4616" width="11.5" style="56"/>
    <col min="4617" max="4617" width="0.5" style="56" customWidth="1"/>
    <col min="4618" max="4618" width="3.1640625" style="56" customWidth="1"/>
    <col min="4619" max="4619" width="8.83203125" style="56" customWidth="1"/>
    <col min="4620" max="4620" width="14.83203125" style="56" customWidth="1"/>
    <col min="4621" max="4622" width="6.5" style="56" customWidth="1"/>
    <col min="4623" max="4623" width="14.83203125" style="56" customWidth="1"/>
    <col min="4624" max="4625" width="11.5" style="56" customWidth="1"/>
    <col min="4626" max="4626" width="6.1640625" style="56" customWidth="1"/>
    <col min="4627" max="4627" width="22.83203125" style="56" customWidth="1"/>
    <col min="4628" max="4628" width="11.5" style="56" customWidth="1"/>
    <col min="4629" max="4629" width="13.83203125" style="56" customWidth="1"/>
    <col min="4630" max="4630" width="5.83203125" style="56" customWidth="1"/>
    <col min="4631" max="4631" width="15.5" style="56" customWidth="1"/>
    <col min="4632" max="4872" width="11.5" style="56"/>
    <col min="4873" max="4873" width="0.5" style="56" customWidth="1"/>
    <col min="4874" max="4874" width="3.1640625" style="56" customWidth="1"/>
    <col min="4875" max="4875" width="8.83203125" style="56" customWidth="1"/>
    <col min="4876" max="4876" width="14.83203125" style="56" customWidth="1"/>
    <col min="4877" max="4878" width="6.5" style="56" customWidth="1"/>
    <col min="4879" max="4879" width="14.83203125" style="56" customWidth="1"/>
    <col min="4880" max="4881" width="11.5" style="56" customWidth="1"/>
    <col min="4882" max="4882" width="6.1640625" style="56" customWidth="1"/>
    <col min="4883" max="4883" width="22.83203125" style="56" customWidth="1"/>
    <col min="4884" max="4884" width="11.5" style="56" customWidth="1"/>
    <col min="4885" max="4885" width="13.83203125" style="56" customWidth="1"/>
    <col min="4886" max="4886" width="5.83203125" style="56" customWidth="1"/>
    <col min="4887" max="4887" width="15.5" style="56" customWidth="1"/>
    <col min="4888" max="5128" width="11.5" style="56"/>
    <col min="5129" max="5129" width="0.5" style="56" customWidth="1"/>
    <col min="5130" max="5130" width="3.1640625" style="56" customWidth="1"/>
    <col min="5131" max="5131" width="8.83203125" style="56" customWidth="1"/>
    <col min="5132" max="5132" width="14.83203125" style="56" customWidth="1"/>
    <col min="5133" max="5134" width="6.5" style="56" customWidth="1"/>
    <col min="5135" max="5135" width="14.83203125" style="56" customWidth="1"/>
    <col min="5136" max="5137" width="11.5" style="56" customWidth="1"/>
    <col min="5138" max="5138" width="6.1640625" style="56" customWidth="1"/>
    <col min="5139" max="5139" width="22.83203125" style="56" customWidth="1"/>
    <col min="5140" max="5140" width="11.5" style="56" customWidth="1"/>
    <col min="5141" max="5141" width="13.83203125" style="56" customWidth="1"/>
    <col min="5142" max="5142" width="5.83203125" style="56" customWidth="1"/>
    <col min="5143" max="5143" width="15.5" style="56" customWidth="1"/>
    <col min="5144" max="5384" width="11.5" style="56"/>
    <col min="5385" max="5385" width="0.5" style="56" customWidth="1"/>
    <col min="5386" max="5386" width="3.1640625" style="56" customWidth="1"/>
    <col min="5387" max="5387" width="8.83203125" style="56" customWidth="1"/>
    <col min="5388" max="5388" width="14.83203125" style="56" customWidth="1"/>
    <col min="5389" max="5390" width="6.5" style="56" customWidth="1"/>
    <col min="5391" max="5391" width="14.83203125" style="56" customWidth="1"/>
    <col min="5392" max="5393" width="11.5" style="56" customWidth="1"/>
    <col min="5394" max="5394" width="6.1640625" style="56" customWidth="1"/>
    <col min="5395" max="5395" width="22.83203125" style="56" customWidth="1"/>
    <col min="5396" max="5396" width="11.5" style="56" customWidth="1"/>
    <col min="5397" max="5397" width="13.83203125" style="56" customWidth="1"/>
    <col min="5398" max="5398" width="5.83203125" style="56" customWidth="1"/>
    <col min="5399" max="5399" width="15.5" style="56" customWidth="1"/>
    <col min="5400" max="5640" width="11.5" style="56"/>
    <col min="5641" max="5641" width="0.5" style="56" customWidth="1"/>
    <col min="5642" max="5642" width="3.1640625" style="56" customWidth="1"/>
    <col min="5643" max="5643" width="8.83203125" style="56" customWidth="1"/>
    <col min="5644" max="5644" width="14.83203125" style="56" customWidth="1"/>
    <col min="5645" max="5646" width="6.5" style="56" customWidth="1"/>
    <col min="5647" max="5647" width="14.83203125" style="56" customWidth="1"/>
    <col min="5648" max="5649" width="11.5" style="56" customWidth="1"/>
    <col min="5650" max="5650" width="6.1640625" style="56" customWidth="1"/>
    <col min="5651" max="5651" width="22.83203125" style="56" customWidth="1"/>
    <col min="5652" max="5652" width="11.5" style="56" customWidth="1"/>
    <col min="5653" max="5653" width="13.83203125" style="56" customWidth="1"/>
    <col min="5654" max="5654" width="5.83203125" style="56" customWidth="1"/>
    <col min="5655" max="5655" width="15.5" style="56" customWidth="1"/>
    <col min="5656" max="5896" width="11.5" style="56"/>
    <col min="5897" max="5897" width="0.5" style="56" customWidth="1"/>
    <col min="5898" max="5898" width="3.1640625" style="56" customWidth="1"/>
    <col min="5899" max="5899" width="8.83203125" style="56" customWidth="1"/>
    <col min="5900" max="5900" width="14.83203125" style="56" customWidth="1"/>
    <col min="5901" max="5902" width="6.5" style="56" customWidth="1"/>
    <col min="5903" max="5903" width="14.83203125" style="56" customWidth="1"/>
    <col min="5904" max="5905" width="11.5" style="56" customWidth="1"/>
    <col min="5906" max="5906" width="6.1640625" style="56" customWidth="1"/>
    <col min="5907" max="5907" width="22.83203125" style="56" customWidth="1"/>
    <col min="5908" max="5908" width="11.5" style="56" customWidth="1"/>
    <col min="5909" max="5909" width="13.83203125" style="56" customWidth="1"/>
    <col min="5910" max="5910" width="5.83203125" style="56" customWidth="1"/>
    <col min="5911" max="5911" width="15.5" style="56" customWidth="1"/>
    <col min="5912" max="6152" width="11.5" style="56"/>
    <col min="6153" max="6153" width="0.5" style="56" customWidth="1"/>
    <col min="6154" max="6154" width="3.1640625" style="56" customWidth="1"/>
    <col min="6155" max="6155" width="8.83203125" style="56" customWidth="1"/>
    <col min="6156" max="6156" width="14.83203125" style="56" customWidth="1"/>
    <col min="6157" max="6158" width="6.5" style="56" customWidth="1"/>
    <col min="6159" max="6159" width="14.83203125" style="56" customWidth="1"/>
    <col min="6160" max="6161" width="11.5" style="56" customWidth="1"/>
    <col min="6162" max="6162" width="6.1640625" style="56" customWidth="1"/>
    <col min="6163" max="6163" width="22.83203125" style="56" customWidth="1"/>
    <col min="6164" max="6164" width="11.5" style="56" customWidth="1"/>
    <col min="6165" max="6165" width="13.83203125" style="56" customWidth="1"/>
    <col min="6166" max="6166" width="5.83203125" style="56" customWidth="1"/>
    <col min="6167" max="6167" width="15.5" style="56" customWidth="1"/>
    <col min="6168" max="6408" width="11.5" style="56"/>
    <col min="6409" max="6409" width="0.5" style="56" customWidth="1"/>
    <col min="6410" max="6410" width="3.1640625" style="56" customWidth="1"/>
    <col min="6411" max="6411" width="8.83203125" style="56" customWidth="1"/>
    <col min="6412" max="6412" width="14.83203125" style="56" customWidth="1"/>
    <col min="6413" max="6414" width="6.5" style="56" customWidth="1"/>
    <col min="6415" max="6415" width="14.83203125" style="56" customWidth="1"/>
    <col min="6416" max="6417" width="11.5" style="56" customWidth="1"/>
    <col min="6418" max="6418" width="6.1640625" style="56" customWidth="1"/>
    <col min="6419" max="6419" width="22.83203125" style="56" customWidth="1"/>
    <col min="6420" max="6420" width="11.5" style="56" customWidth="1"/>
    <col min="6421" max="6421" width="13.83203125" style="56" customWidth="1"/>
    <col min="6422" max="6422" width="5.83203125" style="56" customWidth="1"/>
    <col min="6423" max="6423" width="15.5" style="56" customWidth="1"/>
    <col min="6424" max="6664" width="11.5" style="56"/>
    <col min="6665" max="6665" width="0.5" style="56" customWidth="1"/>
    <col min="6666" max="6666" width="3.1640625" style="56" customWidth="1"/>
    <col min="6667" max="6667" width="8.83203125" style="56" customWidth="1"/>
    <col min="6668" max="6668" width="14.83203125" style="56" customWidth="1"/>
    <col min="6669" max="6670" width="6.5" style="56" customWidth="1"/>
    <col min="6671" max="6671" width="14.83203125" style="56" customWidth="1"/>
    <col min="6672" max="6673" width="11.5" style="56" customWidth="1"/>
    <col min="6674" max="6674" width="6.1640625" style="56" customWidth="1"/>
    <col min="6675" max="6675" width="22.83203125" style="56" customWidth="1"/>
    <col min="6676" max="6676" width="11.5" style="56" customWidth="1"/>
    <col min="6677" max="6677" width="13.83203125" style="56" customWidth="1"/>
    <col min="6678" max="6678" width="5.83203125" style="56" customWidth="1"/>
    <col min="6679" max="6679" width="15.5" style="56" customWidth="1"/>
    <col min="6680" max="6920" width="11.5" style="56"/>
    <col min="6921" max="6921" width="0.5" style="56" customWidth="1"/>
    <col min="6922" max="6922" width="3.1640625" style="56" customWidth="1"/>
    <col min="6923" max="6923" width="8.83203125" style="56" customWidth="1"/>
    <col min="6924" max="6924" width="14.83203125" style="56" customWidth="1"/>
    <col min="6925" max="6926" width="6.5" style="56" customWidth="1"/>
    <col min="6927" max="6927" width="14.83203125" style="56" customWidth="1"/>
    <col min="6928" max="6929" width="11.5" style="56" customWidth="1"/>
    <col min="6930" max="6930" width="6.1640625" style="56" customWidth="1"/>
    <col min="6931" max="6931" width="22.83203125" style="56" customWidth="1"/>
    <col min="6932" max="6932" width="11.5" style="56" customWidth="1"/>
    <col min="6933" max="6933" width="13.83203125" style="56" customWidth="1"/>
    <col min="6934" max="6934" width="5.83203125" style="56" customWidth="1"/>
    <col min="6935" max="6935" width="15.5" style="56" customWidth="1"/>
    <col min="6936" max="7176" width="11.5" style="56"/>
    <col min="7177" max="7177" width="0.5" style="56" customWidth="1"/>
    <col min="7178" max="7178" width="3.1640625" style="56" customWidth="1"/>
    <col min="7179" max="7179" width="8.83203125" style="56" customWidth="1"/>
    <col min="7180" max="7180" width="14.83203125" style="56" customWidth="1"/>
    <col min="7181" max="7182" width="6.5" style="56" customWidth="1"/>
    <col min="7183" max="7183" width="14.83203125" style="56" customWidth="1"/>
    <col min="7184" max="7185" width="11.5" style="56" customWidth="1"/>
    <col min="7186" max="7186" width="6.1640625" style="56" customWidth="1"/>
    <col min="7187" max="7187" width="22.83203125" style="56" customWidth="1"/>
    <col min="7188" max="7188" width="11.5" style="56" customWidth="1"/>
    <col min="7189" max="7189" width="13.83203125" style="56" customWidth="1"/>
    <col min="7190" max="7190" width="5.83203125" style="56" customWidth="1"/>
    <col min="7191" max="7191" width="15.5" style="56" customWidth="1"/>
    <col min="7192" max="7432" width="11.5" style="56"/>
    <col min="7433" max="7433" width="0.5" style="56" customWidth="1"/>
    <col min="7434" max="7434" width="3.1640625" style="56" customWidth="1"/>
    <col min="7435" max="7435" width="8.83203125" style="56" customWidth="1"/>
    <col min="7436" max="7436" width="14.83203125" style="56" customWidth="1"/>
    <col min="7437" max="7438" width="6.5" style="56" customWidth="1"/>
    <col min="7439" max="7439" width="14.83203125" style="56" customWidth="1"/>
    <col min="7440" max="7441" width="11.5" style="56" customWidth="1"/>
    <col min="7442" max="7442" width="6.1640625" style="56" customWidth="1"/>
    <col min="7443" max="7443" width="22.83203125" style="56" customWidth="1"/>
    <col min="7444" max="7444" width="11.5" style="56" customWidth="1"/>
    <col min="7445" max="7445" width="13.83203125" style="56" customWidth="1"/>
    <col min="7446" max="7446" width="5.83203125" style="56" customWidth="1"/>
    <col min="7447" max="7447" width="15.5" style="56" customWidth="1"/>
    <col min="7448" max="7688" width="11.5" style="56"/>
    <col min="7689" max="7689" width="0.5" style="56" customWidth="1"/>
    <col min="7690" max="7690" width="3.1640625" style="56" customWidth="1"/>
    <col min="7691" max="7691" width="8.83203125" style="56" customWidth="1"/>
    <col min="7692" max="7692" width="14.83203125" style="56" customWidth="1"/>
    <col min="7693" max="7694" width="6.5" style="56" customWidth="1"/>
    <col min="7695" max="7695" width="14.83203125" style="56" customWidth="1"/>
    <col min="7696" max="7697" width="11.5" style="56" customWidth="1"/>
    <col min="7698" max="7698" width="6.1640625" style="56" customWidth="1"/>
    <col min="7699" max="7699" width="22.83203125" style="56" customWidth="1"/>
    <col min="7700" max="7700" width="11.5" style="56" customWidth="1"/>
    <col min="7701" max="7701" width="13.83203125" style="56" customWidth="1"/>
    <col min="7702" max="7702" width="5.83203125" style="56" customWidth="1"/>
    <col min="7703" max="7703" width="15.5" style="56" customWidth="1"/>
    <col min="7704" max="7944" width="11.5" style="56"/>
    <col min="7945" max="7945" width="0.5" style="56" customWidth="1"/>
    <col min="7946" max="7946" width="3.1640625" style="56" customWidth="1"/>
    <col min="7947" max="7947" width="8.83203125" style="56" customWidth="1"/>
    <col min="7948" max="7948" width="14.83203125" style="56" customWidth="1"/>
    <col min="7949" max="7950" width="6.5" style="56" customWidth="1"/>
    <col min="7951" max="7951" width="14.83203125" style="56" customWidth="1"/>
    <col min="7952" max="7953" width="11.5" style="56" customWidth="1"/>
    <col min="7954" max="7954" width="6.1640625" style="56" customWidth="1"/>
    <col min="7955" max="7955" width="22.83203125" style="56" customWidth="1"/>
    <col min="7956" max="7956" width="11.5" style="56" customWidth="1"/>
    <col min="7957" max="7957" width="13.83203125" style="56" customWidth="1"/>
    <col min="7958" max="7958" width="5.83203125" style="56" customWidth="1"/>
    <col min="7959" max="7959" width="15.5" style="56" customWidth="1"/>
    <col min="7960" max="8200" width="11.5" style="56"/>
    <col min="8201" max="8201" width="0.5" style="56" customWidth="1"/>
    <col min="8202" max="8202" width="3.1640625" style="56" customWidth="1"/>
    <col min="8203" max="8203" width="8.83203125" style="56" customWidth="1"/>
    <col min="8204" max="8204" width="14.83203125" style="56" customWidth="1"/>
    <col min="8205" max="8206" width="6.5" style="56" customWidth="1"/>
    <col min="8207" max="8207" width="14.83203125" style="56" customWidth="1"/>
    <col min="8208" max="8209" width="11.5" style="56" customWidth="1"/>
    <col min="8210" max="8210" width="6.1640625" style="56" customWidth="1"/>
    <col min="8211" max="8211" width="22.83203125" style="56" customWidth="1"/>
    <col min="8212" max="8212" width="11.5" style="56" customWidth="1"/>
    <col min="8213" max="8213" width="13.83203125" style="56" customWidth="1"/>
    <col min="8214" max="8214" width="5.83203125" style="56" customWidth="1"/>
    <col min="8215" max="8215" width="15.5" style="56" customWidth="1"/>
    <col min="8216" max="8456" width="11.5" style="56"/>
    <col min="8457" max="8457" width="0.5" style="56" customWidth="1"/>
    <col min="8458" max="8458" width="3.1640625" style="56" customWidth="1"/>
    <col min="8459" max="8459" width="8.83203125" style="56" customWidth="1"/>
    <col min="8460" max="8460" width="14.83203125" style="56" customWidth="1"/>
    <col min="8461" max="8462" width="6.5" style="56" customWidth="1"/>
    <col min="8463" max="8463" width="14.83203125" style="56" customWidth="1"/>
    <col min="8464" max="8465" width="11.5" style="56" customWidth="1"/>
    <col min="8466" max="8466" width="6.1640625" style="56" customWidth="1"/>
    <col min="8467" max="8467" width="22.83203125" style="56" customWidth="1"/>
    <col min="8468" max="8468" width="11.5" style="56" customWidth="1"/>
    <col min="8469" max="8469" width="13.83203125" style="56" customWidth="1"/>
    <col min="8470" max="8470" width="5.83203125" style="56" customWidth="1"/>
    <col min="8471" max="8471" width="15.5" style="56" customWidth="1"/>
    <col min="8472" max="8712" width="11.5" style="56"/>
    <col min="8713" max="8713" width="0.5" style="56" customWidth="1"/>
    <col min="8714" max="8714" width="3.1640625" style="56" customWidth="1"/>
    <col min="8715" max="8715" width="8.83203125" style="56" customWidth="1"/>
    <col min="8716" max="8716" width="14.83203125" style="56" customWidth="1"/>
    <col min="8717" max="8718" width="6.5" style="56" customWidth="1"/>
    <col min="8719" max="8719" width="14.83203125" style="56" customWidth="1"/>
    <col min="8720" max="8721" width="11.5" style="56" customWidth="1"/>
    <col min="8722" max="8722" width="6.1640625" style="56" customWidth="1"/>
    <col min="8723" max="8723" width="22.83203125" style="56" customWidth="1"/>
    <col min="8724" max="8724" width="11.5" style="56" customWidth="1"/>
    <col min="8725" max="8725" width="13.83203125" style="56" customWidth="1"/>
    <col min="8726" max="8726" width="5.83203125" style="56" customWidth="1"/>
    <col min="8727" max="8727" width="15.5" style="56" customWidth="1"/>
    <col min="8728" max="8968" width="11.5" style="56"/>
    <col min="8969" max="8969" width="0.5" style="56" customWidth="1"/>
    <col min="8970" max="8970" width="3.1640625" style="56" customWidth="1"/>
    <col min="8971" max="8971" width="8.83203125" style="56" customWidth="1"/>
    <col min="8972" max="8972" width="14.83203125" style="56" customWidth="1"/>
    <col min="8973" max="8974" width="6.5" style="56" customWidth="1"/>
    <col min="8975" max="8975" width="14.83203125" style="56" customWidth="1"/>
    <col min="8976" max="8977" width="11.5" style="56" customWidth="1"/>
    <col min="8978" max="8978" width="6.1640625" style="56" customWidth="1"/>
    <col min="8979" max="8979" width="22.83203125" style="56" customWidth="1"/>
    <col min="8980" max="8980" width="11.5" style="56" customWidth="1"/>
    <col min="8981" max="8981" width="13.83203125" style="56" customWidth="1"/>
    <col min="8982" max="8982" width="5.83203125" style="56" customWidth="1"/>
    <col min="8983" max="8983" width="15.5" style="56" customWidth="1"/>
    <col min="8984" max="9224" width="11.5" style="56"/>
    <col min="9225" max="9225" width="0.5" style="56" customWidth="1"/>
    <col min="9226" max="9226" width="3.1640625" style="56" customWidth="1"/>
    <col min="9227" max="9227" width="8.83203125" style="56" customWidth="1"/>
    <col min="9228" max="9228" width="14.83203125" style="56" customWidth="1"/>
    <col min="9229" max="9230" width="6.5" style="56" customWidth="1"/>
    <col min="9231" max="9231" width="14.83203125" style="56" customWidth="1"/>
    <col min="9232" max="9233" width="11.5" style="56" customWidth="1"/>
    <col min="9234" max="9234" width="6.1640625" style="56" customWidth="1"/>
    <col min="9235" max="9235" width="22.83203125" style="56" customWidth="1"/>
    <col min="9236" max="9236" width="11.5" style="56" customWidth="1"/>
    <col min="9237" max="9237" width="13.83203125" style="56" customWidth="1"/>
    <col min="9238" max="9238" width="5.83203125" style="56" customWidth="1"/>
    <col min="9239" max="9239" width="15.5" style="56" customWidth="1"/>
    <col min="9240" max="9480" width="11.5" style="56"/>
    <col min="9481" max="9481" width="0.5" style="56" customWidth="1"/>
    <col min="9482" max="9482" width="3.1640625" style="56" customWidth="1"/>
    <col min="9483" max="9483" width="8.83203125" style="56" customWidth="1"/>
    <col min="9484" max="9484" width="14.83203125" style="56" customWidth="1"/>
    <col min="9485" max="9486" width="6.5" style="56" customWidth="1"/>
    <col min="9487" max="9487" width="14.83203125" style="56" customWidth="1"/>
    <col min="9488" max="9489" width="11.5" style="56" customWidth="1"/>
    <col min="9490" max="9490" width="6.1640625" style="56" customWidth="1"/>
    <col min="9491" max="9491" width="22.83203125" style="56" customWidth="1"/>
    <col min="9492" max="9492" width="11.5" style="56" customWidth="1"/>
    <col min="9493" max="9493" width="13.83203125" style="56" customWidth="1"/>
    <col min="9494" max="9494" width="5.83203125" style="56" customWidth="1"/>
    <col min="9495" max="9495" width="15.5" style="56" customWidth="1"/>
    <col min="9496" max="9736" width="11.5" style="56"/>
    <col min="9737" max="9737" width="0.5" style="56" customWidth="1"/>
    <col min="9738" max="9738" width="3.1640625" style="56" customWidth="1"/>
    <col min="9739" max="9739" width="8.83203125" style="56" customWidth="1"/>
    <col min="9740" max="9740" width="14.83203125" style="56" customWidth="1"/>
    <col min="9741" max="9742" width="6.5" style="56" customWidth="1"/>
    <col min="9743" max="9743" width="14.83203125" style="56" customWidth="1"/>
    <col min="9744" max="9745" width="11.5" style="56" customWidth="1"/>
    <col min="9746" max="9746" width="6.1640625" style="56" customWidth="1"/>
    <col min="9747" max="9747" width="22.83203125" style="56" customWidth="1"/>
    <col min="9748" max="9748" width="11.5" style="56" customWidth="1"/>
    <col min="9749" max="9749" width="13.83203125" style="56" customWidth="1"/>
    <col min="9750" max="9750" width="5.83203125" style="56" customWidth="1"/>
    <col min="9751" max="9751" width="15.5" style="56" customWidth="1"/>
    <col min="9752" max="9992" width="11.5" style="56"/>
    <col min="9993" max="9993" width="0.5" style="56" customWidth="1"/>
    <col min="9994" max="9994" width="3.1640625" style="56" customWidth="1"/>
    <col min="9995" max="9995" width="8.83203125" style="56" customWidth="1"/>
    <col min="9996" max="9996" width="14.83203125" style="56" customWidth="1"/>
    <col min="9997" max="9998" width="6.5" style="56" customWidth="1"/>
    <col min="9999" max="9999" width="14.83203125" style="56" customWidth="1"/>
    <col min="10000" max="10001" width="11.5" style="56" customWidth="1"/>
    <col min="10002" max="10002" width="6.1640625" style="56" customWidth="1"/>
    <col min="10003" max="10003" width="22.83203125" style="56" customWidth="1"/>
    <col min="10004" max="10004" width="11.5" style="56" customWidth="1"/>
    <col min="10005" max="10005" width="13.83203125" style="56" customWidth="1"/>
    <col min="10006" max="10006" width="5.83203125" style="56" customWidth="1"/>
    <col min="10007" max="10007" width="15.5" style="56" customWidth="1"/>
    <col min="10008" max="10248" width="11.5" style="56"/>
    <col min="10249" max="10249" width="0.5" style="56" customWidth="1"/>
    <col min="10250" max="10250" width="3.1640625" style="56" customWidth="1"/>
    <col min="10251" max="10251" width="8.83203125" style="56" customWidth="1"/>
    <col min="10252" max="10252" width="14.83203125" style="56" customWidth="1"/>
    <col min="10253" max="10254" width="6.5" style="56" customWidth="1"/>
    <col min="10255" max="10255" width="14.83203125" style="56" customWidth="1"/>
    <col min="10256" max="10257" width="11.5" style="56" customWidth="1"/>
    <col min="10258" max="10258" width="6.1640625" style="56" customWidth="1"/>
    <col min="10259" max="10259" width="22.83203125" style="56" customWidth="1"/>
    <col min="10260" max="10260" width="11.5" style="56" customWidth="1"/>
    <col min="10261" max="10261" width="13.83203125" style="56" customWidth="1"/>
    <col min="10262" max="10262" width="5.83203125" style="56" customWidth="1"/>
    <col min="10263" max="10263" width="15.5" style="56" customWidth="1"/>
    <col min="10264" max="10504" width="11.5" style="56"/>
    <col min="10505" max="10505" width="0.5" style="56" customWidth="1"/>
    <col min="10506" max="10506" width="3.1640625" style="56" customWidth="1"/>
    <col min="10507" max="10507" width="8.83203125" style="56" customWidth="1"/>
    <col min="10508" max="10508" width="14.83203125" style="56" customWidth="1"/>
    <col min="10509" max="10510" width="6.5" style="56" customWidth="1"/>
    <col min="10511" max="10511" width="14.83203125" style="56" customWidth="1"/>
    <col min="10512" max="10513" width="11.5" style="56" customWidth="1"/>
    <col min="10514" max="10514" width="6.1640625" style="56" customWidth="1"/>
    <col min="10515" max="10515" width="22.83203125" style="56" customWidth="1"/>
    <col min="10516" max="10516" width="11.5" style="56" customWidth="1"/>
    <col min="10517" max="10517" width="13.83203125" style="56" customWidth="1"/>
    <col min="10518" max="10518" width="5.83203125" style="56" customWidth="1"/>
    <col min="10519" max="10519" width="15.5" style="56" customWidth="1"/>
    <col min="10520" max="10760" width="11.5" style="56"/>
    <col min="10761" max="10761" width="0.5" style="56" customWidth="1"/>
    <col min="10762" max="10762" width="3.1640625" style="56" customWidth="1"/>
    <col min="10763" max="10763" width="8.83203125" style="56" customWidth="1"/>
    <col min="10764" max="10764" width="14.83203125" style="56" customWidth="1"/>
    <col min="10765" max="10766" width="6.5" style="56" customWidth="1"/>
    <col min="10767" max="10767" width="14.83203125" style="56" customWidth="1"/>
    <col min="10768" max="10769" width="11.5" style="56" customWidth="1"/>
    <col min="10770" max="10770" width="6.1640625" style="56" customWidth="1"/>
    <col min="10771" max="10771" width="22.83203125" style="56" customWidth="1"/>
    <col min="10772" max="10772" width="11.5" style="56" customWidth="1"/>
    <col min="10773" max="10773" width="13.83203125" style="56" customWidth="1"/>
    <col min="10774" max="10774" width="5.83203125" style="56" customWidth="1"/>
    <col min="10775" max="10775" width="15.5" style="56" customWidth="1"/>
    <col min="10776" max="11016" width="11.5" style="56"/>
    <col min="11017" max="11017" width="0.5" style="56" customWidth="1"/>
    <col min="11018" max="11018" width="3.1640625" style="56" customWidth="1"/>
    <col min="11019" max="11019" width="8.83203125" style="56" customWidth="1"/>
    <col min="11020" max="11020" width="14.83203125" style="56" customWidth="1"/>
    <col min="11021" max="11022" width="6.5" style="56" customWidth="1"/>
    <col min="11023" max="11023" width="14.83203125" style="56" customWidth="1"/>
    <col min="11024" max="11025" width="11.5" style="56" customWidth="1"/>
    <col min="11026" max="11026" width="6.1640625" style="56" customWidth="1"/>
    <col min="11027" max="11027" width="22.83203125" style="56" customWidth="1"/>
    <col min="11028" max="11028" width="11.5" style="56" customWidth="1"/>
    <col min="11029" max="11029" width="13.83203125" style="56" customWidth="1"/>
    <col min="11030" max="11030" width="5.83203125" style="56" customWidth="1"/>
    <col min="11031" max="11031" width="15.5" style="56" customWidth="1"/>
    <col min="11032" max="11272" width="11.5" style="56"/>
    <col min="11273" max="11273" width="0.5" style="56" customWidth="1"/>
    <col min="11274" max="11274" width="3.1640625" style="56" customWidth="1"/>
    <col min="11275" max="11275" width="8.83203125" style="56" customWidth="1"/>
    <col min="11276" max="11276" width="14.83203125" style="56" customWidth="1"/>
    <col min="11277" max="11278" width="6.5" style="56" customWidth="1"/>
    <col min="11279" max="11279" width="14.83203125" style="56" customWidth="1"/>
    <col min="11280" max="11281" width="11.5" style="56" customWidth="1"/>
    <col min="11282" max="11282" width="6.1640625" style="56" customWidth="1"/>
    <col min="11283" max="11283" width="22.83203125" style="56" customWidth="1"/>
    <col min="11284" max="11284" width="11.5" style="56" customWidth="1"/>
    <col min="11285" max="11285" width="13.83203125" style="56" customWidth="1"/>
    <col min="11286" max="11286" width="5.83203125" style="56" customWidth="1"/>
    <col min="11287" max="11287" width="15.5" style="56" customWidth="1"/>
    <col min="11288" max="11528" width="11.5" style="56"/>
    <col min="11529" max="11529" width="0.5" style="56" customWidth="1"/>
    <col min="11530" max="11530" width="3.1640625" style="56" customWidth="1"/>
    <col min="11531" max="11531" width="8.83203125" style="56" customWidth="1"/>
    <col min="11532" max="11532" width="14.83203125" style="56" customWidth="1"/>
    <col min="11533" max="11534" width="6.5" style="56" customWidth="1"/>
    <col min="11535" max="11535" width="14.83203125" style="56" customWidth="1"/>
    <col min="11536" max="11537" width="11.5" style="56" customWidth="1"/>
    <col min="11538" max="11538" width="6.1640625" style="56" customWidth="1"/>
    <col min="11539" max="11539" width="22.83203125" style="56" customWidth="1"/>
    <col min="11540" max="11540" width="11.5" style="56" customWidth="1"/>
    <col min="11541" max="11541" width="13.83203125" style="56" customWidth="1"/>
    <col min="11542" max="11542" width="5.83203125" style="56" customWidth="1"/>
    <col min="11543" max="11543" width="15.5" style="56" customWidth="1"/>
    <col min="11544" max="11784" width="11.5" style="56"/>
    <col min="11785" max="11785" width="0.5" style="56" customWidth="1"/>
    <col min="11786" max="11786" width="3.1640625" style="56" customWidth="1"/>
    <col min="11787" max="11787" width="8.83203125" style="56" customWidth="1"/>
    <col min="11788" max="11788" width="14.83203125" style="56" customWidth="1"/>
    <col min="11789" max="11790" width="6.5" style="56" customWidth="1"/>
    <col min="11791" max="11791" width="14.83203125" style="56" customWidth="1"/>
    <col min="11792" max="11793" width="11.5" style="56" customWidth="1"/>
    <col min="11794" max="11794" width="6.1640625" style="56" customWidth="1"/>
    <col min="11795" max="11795" width="22.83203125" style="56" customWidth="1"/>
    <col min="11796" max="11796" width="11.5" style="56" customWidth="1"/>
    <col min="11797" max="11797" width="13.83203125" style="56" customWidth="1"/>
    <col min="11798" max="11798" width="5.83203125" style="56" customWidth="1"/>
    <col min="11799" max="11799" width="15.5" style="56" customWidth="1"/>
    <col min="11800" max="12040" width="11.5" style="56"/>
    <col min="12041" max="12041" width="0.5" style="56" customWidth="1"/>
    <col min="12042" max="12042" width="3.1640625" style="56" customWidth="1"/>
    <col min="12043" max="12043" width="8.83203125" style="56" customWidth="1"/>
    <col min="12044" max="12044" width="14.83203125" style="56" customWidth="1"/>
    <col min="12045" max="12046" width="6.5" style="56" customWidth="1"/>
    <col min="12047" max="12047" width="14.83203125" style="56" customWidth="1"/>
    <col min="12048" max="12049" width="11.5" style="56" customWidth="1"/>
    <col min="12050" max="12050" width="6.1640625" style="56" customWidth="1"/>
    <col min="12051" max="12051" width="22.83203125" style="56" customWidth="1"/>
    <col min="12052" max="12052" width="11.5" style="56" customWidth="1"/>
    <col min="12053" max="12053" width="13.83203125" style="56" customWidth="1"/>
    <col min="12054" max="12054" width="5.83203125" style="56" customWidth="1"/>
    <col min="12055" max="12055" width="15.5" style="56" customWidth="1"/>
    <col min="12056" max="12296" width="11.5" style="56"/>
    <col min="12297" max="12297" width="0.5" style="56" customWidth="1"/>
    <col min="12298" max="12298" width="3.1640625" style="56" customWidth="1"/>
    <col min="12299" max="12299" width="8.83203125" style="56" customWidth="1"/>
    <col min="12300" max="12300" width="14.83203125" style="56" customWidth="1"/>
    <col min="12301" max="12302" width="6.5" style="56" customWidth="1"/>
    <col min="12303" max="12303" width="14.83203125" style="56" customWidth="1"/>
    <col min="12304" max="12305" width="11.5" style="56" customWidth="1"/>
    <col min="12306" max="12306" width="6.1640625" style="56" customWidth="1"/>
    <col min="12307" max="12307" width="22.83203125" style="56" customWidth="1"/>
    <col min="12308" max="12308" width="11.5" style="56" customWidth="1"/>
    <col min="12309" max="12309" width="13.83203125" style="56" customWidth="1"/>
    <col min="12310" max="12310" width="5.83203125" style="56" customWidth="1"/>
    <col min="12311" max="12311" width="15.5" style="56" customWidth="1"/>
    <col min="12312" max="12552" width="11.5" style="56"/>
    <col min="12553" max="12553" width="0.5" style="56" customWidth="1"/>
    <col min="12554" max="12554" width="3.1640625" style="56" customWidth="1"/>
    <col min="12555" max="12555" width="8.83203125" style="56" customWidth="1"/>
    <col min="12556" max="12556" width="14.83203125" style="56" customWidth="1"/>
    <col min="12557" max="12558" width="6.5" style="56" customWidth="1"/>
    <col min="12559" max="12559" width="14.83203125" style="56" customWidth="1"/>
    <col min="12560" max="12561" width="11.5" style="56" customWidth="1"/>
    <col min="12562" max="12562" width="6.1640625" style="56" customWidth="1"/>
    <col min="12563" max="12563" width="22.83203125" style="56" customWidth="1"/>
    <col min="12564" max="12564" width="11.5" style="56" customWidth="1"/>
    <col min="12565" max="12565" width="13.83203125" style="56" customWidth="1"/>
    <col min="12566" max="12566" width="5.83203125" style="56" customWidth="1"/>
    <col min="12567" max="12567" width="15.5" style="56" customWidth="1"/>
    <col min="12568" max="12808" width="11.5" style="56"/>
    <col min="12809" max="12809" width="0.5" style="56" customWidth="1"/>
    <col min="12810" max="12810" width="3.1640625" style="56" customWidth="1"/>
    <col min="12811" max="12811" width="8.83203125" style="56" customWidth="1"/>
    <col min="12812" max="12812" width="14.83203125" style="56" customWidth="1"/>
    <col min="12813" max="12814" width="6.5" style="56" customWidth="1"/>
    <col min="12815" max="12815" width="14.83203125" style="56" customWidth="1"/>
    <col min="12816" max="12817" width="11.5" style="56" customWidth="1"/>
    <col min="12818" max="12818" width="6.1640625" style="56" customWidth="1"/>
    <col min="12819" max="12819" width="22.83203125" style="56" customWidth="1"/>
    <col min="12820" max="12820" width="11.5" style="56" customWidth="1"/>
    <col min="12821" max="12821" width="13.83203125" style="56" customWidth="1"/>
    <col min="12822" max="12822" width="5.83203125" style="56" customWidth="1"/>
    <col min="12823" max="12823" width="15.5" style="56" customWidth="1"/>
    <col min="12824" max="13064" width="11.5" style="56"/>
    <col min="13065" max="13065" width="0.5" style="56" customWidth="1"/>
    <col min="13066" max="13066" width="3.1640625" style="56" customWidth="1"/>
    <col min="13067" max="13067" width="8.83203125" style="56" customWidth="1"/>
    <col min="13068" max="13068" width="14.83203125" style="56" customWidth="1"/>
    <col min="13069" max="13070" width="6.5" style="56" customWidth="1"/>
    <col min="13071" max="13071" width="14.83203125" style="56" customWidth="1"/>
    <col min="13072" max="13073" width="11.5" style="56" customWidth="1"/>
    <col min="13074" max="13074" width="6.1640625" style="56" customWidth="1"/>
    <col min="13075" max="13075" width="22.83203125" style="56" customWidth="1"/>
    <col min="13076" max="13076" width="11.5" style="56" customWidth="1"/>
    <col min="13077" max="13077" width="13.83203125" style="56" customWidth="1"/>
    <col min="13078" max="13078" width="5.83203125" style="56" customWidth="1"/>
    <col min="13079" max="13079" width="15.5" style="56" customWidth="1"/>
    <col min="13080" max="13320" width="11.5" style="56"/>
    <col min="13321" max="13321" width="0.5" style="56" customWidth="1"/>
    <col min="13322" max="13322" width="3.1640625" style="56" customWidth="1"/>
    <col min="13323" max="13323" width="8.83203125" style="56" customWidth="1"/>
    <col min="13324" max="13324" width="14.83203125" style="56" customWidth="1"/>
    <col min="13325" max="13326" width="6.5" style="56" customWidth="1"/>
    <col min="13327" max="13327" width="14.83203125" style="56" customWidth="1"/>
    <col min="13328" max="13329" width="11.5" style="56" customWidth="1"/>
    <col min="13330" max="13330" width="6.1640625" style="56" customWidth="1"/>
    <col min="13331" max="13331" width="22.83203125" style="56" customWidth="1"/>
    <col min="13332" max="13332" width="11.5" style="56" customWidth="1"/>
    <col min="13333" max="13333" width="13.83203125" style="56" customWidth="1"/>
    <col min="13334" max="13334" width="5.83203125" style="56" customWidth="1"/>
    <col min="13335" max="13335" width="15.5" style="56" customWidth="1"/>
    <col min="13336" max="13576" width="11.5" style="56"/>
    <col min="13577" max="13577" width="0.5" style="56" customWidth="1"/>
    <col min="13578" max="13578" width="3.1640625" style="56" customWidth="1"/>
    <col min="13579" max="13579" width="8.83203125" style="56" customWidth="1"/>
    <col min="13580" max="13580" width="14.83203125" style="56" customWidth="1"/>
    <col min="13581" max="13582" width="6.5" style="56" customWidth="1"/>
    <col min="13583" max="13583" width="14.83203125" style="56" customWidth="1"/>
    <col min="13584" max="13585" width="11.5" style="56" customWidth="1"/>
    <col min="13586" max="13586" width="6.1640625" style="56" customWidth="1"/>
    <col min="13587" max="13587" width="22.83203125" style="56" customWidth="1"/>
    <col min="13588" max="13588" width="11.5" style="56" customWidth="1"/>
    <col min="13589" max="13589" width="13.83203125" style="56" customWidth="1"/>
    <col min="13590" max="13590" width="5.83203125" style="56" customWidth="1"/>
    <col min="13591" max="13591" width="15.5" style="56" customWidth="1"/>
    <col min="13592" max="13832" width="11.5" style="56"/>
    <col min="13833" max="13833" width="0.5" style="56" customWidth="1"/>
    <col min="13834" max="13834" width="3.1640625" style="56" customWidth="1"/>
    <col min="13835" max="13835" width="8.83203125" style="56" customWidth="1"/>
    <col min="13836" max="13836" width="14.83203125" style="56" customWidth="1"/>
    <col min="13837" max="13838" width="6.5" style="56" customWidth="1"/>
    <col min="13839" max="13839" width="14.83203125" style="56" customWidth="1"/>
    <col min="13840" max="13841" width="11.5" style="56" customWidth="1"/>
    <col min="13842" max="13842" width="6.1640625" style="56" customWidth="1"/>
    <col min="13843" max="13843" width="22.83203125" style="56" customWidth="1"/>
    <col min="13844" max="13844" width="11.5" style="56" customWidth="1"/>
    <col min="13845" max="13845" width="13.83203125" style="56" customWidth="1"/>
    <col min="13846" max="13846" width="5.83203125" style="56" customWidth="1"/>
    <col min="13847" max="13847" width="15.5" style="56" customWidth="1"/>
    <col min="13848" max="14088" width="11.5" style="56"/>
    <col min="14089" max="14089" width="0.5" style="56" customWidth="1"/>
    <col min="14090" max="14090" width="3.1640625" style="56" customWidth="1"/>
    <col min="14091" max="14091" width="8.83203125" style="56" customWidth="1"/>
    <col min="14092" max="14092" width="14.83203125" style="56" customWidth="1"/>
    <col min="14093" max="14094" width="6.5" style="56" customWidth="1"/>
    <col min="14095" max="14095" width="14.83203125" style="56" customWidth="1"/>
    <col min="14096" max="14097" width="11.5" style="56" customWidth="1"/>
    <col min="14098" max="14098" width="6.1640625" style="56" customWidth="1"/>
    <col min="14099" max="14099" width="22.83203125" style="56" customWidth="1"/>
    <col min="14100" max="14100" width="11.5" style="56" customWidth="1"/>
    <col min="14101" max="14101" width="13.83203125" style="56" customWidth="1"/>
    <col min="14102" max="14102" width="5.83203125" style="56" customWidth="1"/>
    <col min="14103" max="14103" width="15.5" style="56" customWidth="1"/>
    <col min="14104" max="14344" width="11.5" style="56"/>
    <col min="14345" max="14345" width="0.5" style="56" customWidth="1"/>
    <col min="14346" max="14346" width="3.1640625" style="56" customWidth="1"/>
    <col min="14347" max="14347" width="8.83203125" style="56" customWidth="1"/>
    <col min="14348" max="14348" width="14.83203125" style="56" customWidth="1"/>
    <col min="14349" max="14350" width="6.5" style="56" customWidth="1"/>
    <col min="14351" max="14351" width="14.83203125" style="56" customWidth="1"/>
    <col min="14352" max="14353" width="11.5" style="56" customWidth="1"/>
    <col min="14354" max="14354" width="6.1640625" style="56" customWidth="1"/>
    <col min="14355" max="14355" width="22.83203125" style="56" customWidth="1"/>
    <col min="14356" max="14356" width="11.5" style="56" customWidth="1"/>
    <col min="14357" max="14357" width="13.83203125" style="56" customWidth="1"/>
    <col min="14358" max="14358" width="5.83203125" style="56" customWidth="1"/>
    <col min="14359" max="14359" width="15.5" style="56" customWidth="1"/>
    <col min="14360" max="14600" width="11.5" style="56"/>
    <col min="14601" max="14601" width="0.5" style="56" customWidth="1"/>
    <col min="14602" max="14602" width="3.1640625" style="56" customWidth="1"/>
    <col min="14603" max="14603" width="8.83203125" style="56" customWidth="1"/>
    <col min="14604" max="14604" width="14.83203125" style="56" customWidth="1"/>
    <col min="14605" max="14606" width="6.5" style="56" customWidth="1"/>
    <col min="14607" max="14607" width="14.83203125" style="56" customWidth="1"/>
    <col min="14608" max="14609" width="11.5" style="56" customWidth="1"/>
    <col min="14610" max="14610" width="6.1640625" style="56" customWidth="1"/>
    <col min="14611" max="14611" width="22.83203125" style="56" customWidth="1"/>
    <col min="14612" max="14612" width="11.5" style="56" customWidth="1"/>
    <col min="14613" max="14613" width="13.83203125" style="56" customWidth="1"/>
    <col min="14614" max="14614" width="5.83203125" style="56" customWidth="1"/>
    <col min="14615" max="14615" width="15.5" style="56" customWidth="1"/>
    <col min="14616" max="14856" width="11.5" style="56"/>
    <col min="14857" max="14857" width="0.5" style="56" customWidth="1"/>
    <col min="14858" max="14858" width="3.1640625" style="56" customWidth="1"/>
    <col min="14859" max="14859" width="8.83203125" style="56" customWidth="1"/>
    <col min="14860" max="14860" width="14.83203125" style="56" customWidth="1"/>
    <col min="14861" max="14862" width="6.5" style="56" customWidth="1"/>
    <col min="14863" max="14863" width="14.83203125" style="56" customWidth="1"/>
    <col min="14864" max="14865" width="11.5" style="56" customWidth="1"/>
    <col min="14866" max="14866" width="6.1640625" style="56" customWidth="1"/>
    <col min="14867" max="14867" width="22.83203125" style="56" customWidth="1"/>
    <col min="14868" max="14868" width="11.5" style="56" customWidth="1"/>
    <col min="14869" max="14869" width="13.83203125" style="56" customWidth="1"/>
    <col min="14870" max="14870" width="5.83203125" style="56" customWidth="1"/>
    <col min="14871" max="14871" width="15.5" style="56" customWidth="1"/>
    <col min="14872" max="15112" width="11.5" style="56"/>
    <col min="15113" max="15113" width="0.5" style="56" customWidth="1"/>
    <col min="15114" max="15114" width="3.1640625" style="56" customWidth="1"/>
    <col min="15115" max="15115" width="8.83203125" style="56" customWidth="1"/>
    <col min="15116" max="15116" width="14.83203125" style="56" customWidth="1"/>
    <col min="15117" max="15118" width="6.5" style="56" customWidth="1"/>
    <col min="15119" max="15119" width="14.83203125" style="56" customWidth="1"/>
    <col min="15120" max="15121" width="11.5" style="56" customWidth="1"/>
    <col min="15122" max="15122" width="6.1640625" style="56" customWidth="1"/>
    <col min="15123" max="15123" width="22.83203125" style="56" customWidth="1"/>
    <col min="15124" max="15124" width="11.5" style="56" customWidth="1"/>
    <col min="15125" max="15125" width="13.83203125" style="56" customWidth="1"/>
    <col min="15126" max="15126" width="5.83203125" style="56" customWidth="1"/>
    <col min="15127" max="15127" width="15.5" style="56" customWidth="1"/>
    <col min="15128" max="15368" width="11.5" style="56"/>
    <col min="15369" max="15369" width="0.5" style="56" customWidth="1"/>
    <col min="15370" max="15370" width="3.1640625" style="56" customWidth="1"/>
    <col min="15371" max="15371" width="8.83203125" style="56" customWidth="1"/>
    <col min="15372" max="15372" width="14.83203125" style="56" customWidth="1"/>
    <col min="15373" max="15374" width="6.5" style="56" customWidth="1"/>
    <col min="15375" max="15375" width="14.83203125" style="56" customWidth="1"/>
    <col min="15376" max="15377" width="11.5" style="56" customWidth="1"/>
    <col min="15378" max="15378" width="6.1640625" style="56" customWidth="1"/>
    <col min="15379" max="15379" width="22.83203125" style="56" customWidth="1"/>
    <col min="15380" max="15380" width="11.5" style="56" customWidth="1"/>
    <col min="15381" max="15381" width="13.83203125" style="56" customWidth="1"/>
    <col min="15382" max="15382" width="5.83203125" style="56" customWidth="1"/>
    <col min="15383" max="15383" width="15.5" style="56" customWidth="1"/>
    <col min="15384" max="15624" width="11.5" style="56"/>
    <col min="15625" max="15625" width="0.5" style="56" customWidth="1"/>
    <col min="15626" max="15626" width="3.1640625" style="56" customWidth="1"/>
    <col min="15627" max="15627" width="8.83203125" style="56" customWidth="1"/>
    <col min="15628" max="15628" width="14.83203125" style="56" customWidth="1"/>
    <col min="15629" max="15630" width="6.5" style="56" customWidth="1"/>
    <col min="15631" max="15631" width="14.83203125" style="56" customWidth="1"/>
    <col min="15632" max="15633" width="11.5" style="56" customWidth="1"/>
    <col min="15634" max="15634" width="6.1640625" style="56" customWidth="1"/>
    <col min="15635" max="15635" width="22.83203125" style="56" customWidth="1"/>
    <col min="15636" max="15636" width="11.5" style="56" customWidth="1"/>
    <col min="15637" max="15637" width="13.83203125" style="56" customWidth="1"/>
    <col min="15638" max="15638" width="5.83203125" style="56" customWidth="1"/>
    <col min="15639" max="15639" width="15.5" style="56" customWidth="1"/>
    <col min="15640" max="15880" width="11.5" style="56"/>
    <col min="15881" max="15881" width="0.5" style="56" customWidth="1"/>
    <col min="15882" max="15882" width="3.1640625" style="56" customWidth="1"/>
    <col min="15883" max="15883" width="8.83203125" style="56" customWidth="1"/>
    <col min="15884" max="15884" width="14.83203125" style="56" customWidth="1"/>
    <col min="15885" max="15886" width="6.5" style="56" customWidth="1"/>
    <col min="15887" max="15887" width="14.83203125" style="56" customWidth="1"/>
    <col min="15888" max="15889" width="11.5" style="56" customWidth="1"/>
    <col min="15890" max="15890" width="6.1640625" style="56" customWidth="1"/>
    <col min="15891" max="15891" width="22.83203125" style="56" customWidth="1"/>
    <col min="15892" max="15892" width="11.5" style="56" customWidth="1"/>
    <col min="15893" max="15893" width="13.83203125" style="56" customWidth="1"/>
    <col min="15894" max="15894" width="5.83203125" style="56" customWidth="1"/>
    <col min="15895" max="15895" width="15.5" style="56" customWidth="1"/>
    <col min="15896" max="16136" width="11.5" style="56"/>
    <col min="16137" max="16137" width="0.5" style="56" customWidth="1"/>
    <col min="16138" max="16138" width="3.1640625" style="56" customWidth="1"/>
    <col min="16139" max="16139" width="8.83203125" style="56" customWidth="1"/>
    <col min="16140" max="16140" width="14.83203125" style="56" customWidth="1"/>
    <col min="16141" max="16142" width="6.5" style="56" customWidth="1"/>
    <col min="16143" max="16143" width="14.83203125" style="56" customWidth="1"/>
    <col min="16144" max="16145" width="11.5" style="56" customWidth="1"/>
    <col min="16146" max="16146" width="6.1640625" style="56" customWidth="1"/>
    <col min="16147" max="16147" width="22.83203125" style="56" customWidth="1"/>
    <col min="16148" max="16148" width="11.5" style="56" customWidth="1"/>
    <col min="16149" max="16149" width="13.83203125" style="56" customWidth="1"/>
    <col min="16150" max="16150" width="5.83203125" style="56" customWidth="1"/>
    <col min="16151" max="16151" width="15.5" style="56" customWidth="1"/>
    <col min="16152" max="16384" width="11.5" style="56"/>
  </cols>
  <sheetData>
    <row r="1" spans="1:34" ht="8" customHeight="1">
      <c r="Q1" s="91"/>
      <c r="R1" s="91"/>
    </row>
    <row r="2" spans="1:34" ht="5" customHeight="1" thickBot="1">
      <c r="Q2" s="89"/>
      <c r="R2" s="89"/>
    </row>
    <row r="3" spans="1:34" s="57" customFormat="1" ht="17" customHeight="1">
      <c r="A3" s="472"/>
      <c r="B3" s="576" t="s">
        <v>115</v>
      </c>
      <c r="C3" s="577"/>
      <c r="D3" s="577"/>
      <c r="E3" s="577"/>
      <c r="F3" s="577"/>
      <c r="G3" s="577"/>
      <c r="H3" s="577"/>
      <c r="I3" s="577"/>
      <c r="J3" s="578"/>
      <c r="K3" s="95"/>
      <c r="L3" s="58"/>
      <c r="M3" s="58"/>
      <c r="N3" s="92"/>
      <c r="O3" s="93"/>
      <c r="Q3" s="90"/>
      <c r="R3" s="90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301"/>
    </row>
    <row r="4" spans="1:34" ht="6" customHeight="1" thickBot="1">
      <c r="B4" s="579"/>
      <c r="C4" s="580"/>
      <c r="D4" s="580"/>
      <c r="E4" s="580"/>
      <c r="F4" s="580"/>
      <c r="G4" s="580"/>
      <c r="H4" s="580"/>
      <c r="I4" s="580"/>
      <c r="J4" s="581"/>
      <c r="K4" s="95"/>
      <c r="L4" s="58"/>
      <c r="M4" s="58"/>
      <c r="N4" s="93"/>
      <c r="O4" s="93"/>
      <c r="P4" s="58"/>
      <c r="Q4" s="59"/>
      <c r="R4" s="59"/>
    </row>
    <row r="5" spans="1:34" ht="15" customHeight="1">
      <c r="B5" s="582" t="s">
        <v>283</v>
      </c>
      <c r="C5" s="583"/>
      <c r="D5" s="583"/>
      <c r="E5" s="583"/>
      <c r="F5" s="583" t="s">
        <v>27</v>
      </c>
      <c r="G5" s="583"/>
      <c r="H5" s="583"/>
      <c r="I5" s="583"/>
      <c r="J5" s="589"/>
      <c r="K5" s="584" t="s">
        <v>142</v>
      </c>
      <c r="L5" s="585"/>
      <c r="M5" s="585"/>
      <c r="N5" s="585" t="s">
        <v>365</v>
      </c>
      <c r="O5" s="585"/>
      <c r="P5" s="588"/>
      <c r="Q5" s="345" t="s">
        <v>143</v>
      </c>
      <c r="R5" s="92"/>
    </row>
    <row r="6" spans="1:34" ht="17" customHeight="1" thickBot="1">
      <c r="B6" s="592" t="str">
        <f>IF(Start!$D$4="","Dr. Max Mustermann",Start!$D$4)</f>
        <v>Dr. Max Mustermann</v>
      </c>
      <c r="C6" s="593"/>
      <c r="D6" s="593"/>
      <c r="E6" s="593"/>
      <c r="F6" s="593" t="str">
        <f>Start!$D$8</f>
        <v>Ärztin/Arzt in Ausbildung_BSO1994</v>
      </c>
      <c r="G6" s="593"/>
      <c r="H6" s="593"/>
      <c r="I6" s="593"/>
      <c r="J6" s="594"/>
      <c r="K6" s="590">
        <f>IF(SUM(N14:O43,L13:L43,AA51:AD51,AA52:AB52)=0,Datenblatt!J105,SUM(N14:O43,L13:L43,AA51:AD51,AA52:AB52,AH51:AH52))</f>
        <v>192</v>
      </c>
      <c r="L6" s="591"/>
      <c r="M6" s="591"/>
      <c r="N6" s="586">
        <f>COUNTIF(D14:E43,"ND")+COUNTIF(D14:E43,"ND12,5")</f>
        <v>0</v>
      </c>
      <c r="O6" s="586"/>
      <c r="P6" s="587"/>
      <c r="Q6" s="346">
        <f>IF(OR(Start!$D$10="",Start!$E$10=""),"",IF(Start!$D$8=Gehalt!$K$32,VLOOKUP($H$8,Gehalt!$A$4:$I$22,3,FALSE),IF(Start!$D$8=Gehalt!$K$33,VLOOKUP($H$8,Gehalt!$A$4:$I$22,4,FALSE),IF(Start!$D$8=Gehalt!$K$34,VLOOKUP($H$8,Gehalt!$A$4:$I$22,5,FALSE),IF(Start!$D$8=Gehalt!$K$35,VLOOKUP($H$8,Gehalt!$A$4:$I$22,6,FALSE),IF(Start!$D$8=Gehalt!$K$36,VLOOKUP($H$8,Gehalt!$A$4:$I$22,7,FALSE),IF(Start!$D$8=Gehalt!$K$37,VLOOKUP($H$8,Gehalt!$A$4:$I$22,6,FALSE),IF(Start!$D$8=Gehalt!$K$38,VLOOKUP($H$8,Gehalt!$A$4:$I$22,8,FALSE),IF(Start!$D$8=Gehalt!$K$39,VLOOKUP($H$8,Gehalt!$A$4:$I$22,8,FALSE),IF(Start!$D$8=Gehalt!$K$40,VLOOKUP($H$8,Gehalt!$A$4:$I$22,9,FALSE),IF(Start!$D$8=Gehalt!$K$41,VLOOKUP($H$8,Gehalt!$A$4:$I$22,9,FALSE))))))))))))</f>
        <v>5365.31</v>
      </c>
      <c r="R6" s="92"/>
      <c r="S6" s="92"/>
    </row>
    <row r="7" spans="1:34" ht="15" customHeight="1">
      <c r="B7" s="582" t="s">
        <v>26</v>
      </c>
      <c r="C7" s="583"/>
      <c r="D7" s="108" t="s">
        <v>25</v>
      </c>
      <c r="E7" s="583" t="s">
        <v>43</v>
      </c>
      <c r="F7" s="583"/>
      <c r="G7" s="583"/>
      <c r="H7" s="583" t="s">
        <v>91</v>
      </c>
      <c r="I7" s="583"/>
      <c r="J7" s="589"/>
      <c r="K7" s="584" t="s">
        <v>80</v>
      </c>
      <c r="L7" s="585"/>
      <c r="M7" s="585"/>
      <c r="N7" s="585" t="s">
        <v>81</v>
      </c>
      <c r="O7" s="585"/>
      <c r="P7" s="588"/>
      <c r="Q7" s="345" t="s">
        <v>144</v>
      </c>
      <c r="R7" s="191"/>
      <c r="S7" s="101"/>
      <c r="U7" s="242"/>
      <c r="AA7" s="242"/>
    </row>
    <row r="8" spans="1:34" s="59" customFormat="1" ht="17" customHeight="1" thickBot="1">
      <c r="A8" s="471"/>
      <c r="B8" s="595">
        <f>DATE($D$8,6,1)</f>
        <v>45444</v>
      </c>
      <c r="C8" s="596"/>
      <c r="D8" s="349">
        <f>Start!$D$2</f>
        <v>2024</v>
      </c>
      <c r="E8" s="601">
        <f>($K$6)/((VLOOKUP($B$8,Datenblatt!$A$100:$G$112,7,FALSE)*0.2)-(0.2*$D$59))</f>
        <v>48</v>
      </c>
      <c r="F8" s="601"/>
      <c r="G8" s="601"/>
      <c r="H8" s="602">
        <f>IF(OR(Start!$D$10="",Start!$E$10=""),"",IF(($C$14&lt;Start!$D$10),Start!$E$10,VLOOKUP(Start!$E$10,Gehalt!$A$4:$B$22,2,FALSE)))</f>
        <v>4</v>
      </c>
      <c r="I8" s="602"/>
      <c r="J8" s="603"/>
      <c r="K8" s="597">
        <f>SUM(M13:M43)</f>
        <v>0</v>
      </c>
      <c r="L8" s="598"/>
      <c r="M8" s="598"/>
      <c r="N8" s="591">
        <f>VLOOKUP($B$8,Datenblatt!A100:F112,6,FALSE)</f>
        <v>160</v>
      </c>
      <c r="O8" s="591"/>
      <c r="P8" s="599"/>
      <c r="Q8" s="346">
        <f ca="1">IF($L$50="","",SUM($L$50:$L$59))</f>
        <v>5365.31</v>
      </c>
      <c r="R8" s="100"/>
      <c r="S8" s="101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302"/>
    </row>
    <row r="9" spans="1:34" s="60" customFormat="1" ht="4.25" customHeight="1">
      <c r="A9" s="473"/>
      <c r="B9" s="559" t="s">
        <v>116</v>
      </c>
      <c r="C9" s="560"/>
      <c r="D9" s="565" t="s">
        <v>124</v>
      </c>
      <c r="E9" s="565" t="s">
        <v>174</v>
      </c>
      <c r="F9" s="568" t="s">
        <v>79</v>
      </c>
      <c r="G9" s="569"/>
      <c r="H9" s="568" t="s">
        <v>109</v>
      </c>
      <c r="I9" s="569"/>
      <c r="J9" s="565" t="s">
        <v>117</v>
      </c>
      <c r="K9" s="556" t="s">
        <v>82</v>
      </c>
      <c r="L9" s="556" t="s">
        <v>130</v>
      </c>
      <c r="M9" s="556" t="s">
        <v>114</v>
      </c>
      <c r="N9" s="556" t="s">
        <v>79</v>
      </c>
      <c r="O9" s="556" t="s">
        <v>109</v>
      </c>
      <c r="P9" s="553" t="s">
        <v>134</v>
      </c>
      <c r="Q9" s="535" t="s">
        <v>125</v>
      </c>
      <c r="R9" s="537" t="s">
        <v>173</v>
      </c>
      <c r="S9" s="573" t="s">
        <v>165</v>
      </c>
      <c r="T9" s="233"/>
      <c r="U9" s="234"/>
      <c r="V9" s="234"/>
      <c r="W9" s="234"/>
      <c r="X9" s="234"/>
      <c r="Y9" s="234"/>
      <c r="Z9" s="233"/>
      <c r="AA9" s="234"/>
      <c r="AB9" s="234"/>
      <c r="AC9" s="234"/>
      <c r="AD9" s="234"/>
      <c r="AE9" s="234"/>
      <c r="AF9" s="234"/>
      <c r="AG9" s="234"/>
      <c r="AH9" s="301"/>
    </row>
    <row r="10" spans="1:34" ht="14.5" customHeight="1">
      <c r="B10" s="561"/>
      <c r="C10" s="562"/>
      <c r="D10" s="566"/>
      <c r="E10" s="566"/>
      <c r="F10" s="570"/>
      <c r="G10" s="571"/>
      <c r="H10" s="570"/>
      <c r="I10" s="571"/>
      <c r="J10" s="566"/>
      <c r="K10" s="557"/>
      <c r="L10" s="557"/>
      <c r="M10" s="557"/>
      <c r="N10" s="557"/>
      <c r="O10" s="557"/>
      <c r="P10" s="554"/>
      <c r="Q10" s="535"/>
      <c r="R10" s="535"/>
      <c r="S10" s="574"/>
      <c r="T10" s="233"/>
      <c r="U10" s="572" t="s">
        <v>108</v>
      </c>
      <c r="V10" s="572"/>
      <c r="W10" s="572"/>
      <c r="X10" s="572"/>
      <c r="Y10" s="572"/>
      <c r="Z10" s="249"/>
      <c r="AA10" s="572" t="s">
        <v>168</v>
      </c>
      <c r="AB10" s="572"/>
      <c r="AC10" s="572"/>
      <c r="AD10" s="572"/>
      <c r="AE10" s="572"/>
      <c r="AF10" s="552" t="s">
        <v>232</v>
      </c>
      <c r="AG10" s="552" t="s">
        <v>233</v>
      </c>
    </row>
    <row r="11" spans="1:34" ht="13" customHeight="1" thickBot="1">
      <c r="B11" s="563"/>
      <c r="C11" s="564"/>
      <c r="D11" s="567"/>
      <c r="E11" s="567"/>
      <c r="F11" s="97" t="s">
        <v>14</v>
      </c>
      <c r="G11" s="98" t="s">
        <v>15</v>
      </c>
      <c r="H11" s="97" t="s">
        <v>14</v>
      </c>
      <c r="I11" s="98" t="s">
        <v>15</v>
      </c>
      <c r="J11" s="567"/>
      <c r="K11" s="558"/>
      <c r="L11" s="558"/>
      <c r="M11" s="558"/>
      <c r="N11" s="558"/>
      <c r="O11" s="558"/>
      <c r="P11" s="555"/>
      <c r="Q11" s="536"/>
      <c r="R11" s="536"/>
      <c r="S11" s="575"/>
      <c r="T11" s="109"/>
      <c r="U11" s="245" t="s">
        <v>105</v>
      </c>
      <c r="V11" s="246" t="s">
        <v>106</v>
      </c>
      <c r="W11" s="247" t="s">
        <v>107</v>
      </c>
      <c r="X11" s="246" t="s">
        <v>176</v>
      </c>
      <c r="Y11" s="246" t="s">
        <v>175</v>
      </c>
      <c r="Z11" s="248"/>
      <c r="AA11" s="245" t="s">
        <v>105</v>
      </c>
      <c r="AB11" s="246" t="s">
        <v>106</v>
      </c>
      <c r="AC11" s="246" t="s">
        <v>176</v>
      </c>
      <c r="AD11" s="246" t="s">
        <v>175</v>
      </c>
      <c r="AE11" s="245" t="s">
        <v>229</v>
      </c>
      <c r="AF11" s="552"/>
      <c r="AG11" s="552"/>
      <c r="AH11" s="246" t="s">
        <v>262</v>
      </c>
    </row>
    <row r="12" spans="1:34" ht="0.25" customHeight="1">
      <c r="B12" s="61"/>
      <c r="C12" s="61"/>
      <c r="D12" s="62"/>
      <c r="E12" s="65"/>
      <c r="F12" s="63"/>
      <c r="G12" s="63"/>
      <c r="H12" s="63"/>
      <c r="I12" s="63"/>
      <c r="J12" s="64"/>
      <c r="K12" s="64"/>
      <c r="L12" s="65"/>
      <c r="M12" s="65"/>
      <c r="N12" s="65"/>
      <c r="O12" s="65"/>
      <c r="P12" s="65"/>
      <c r="S12" s="96"/>
      <c r="T12" s="235"/>
      <c r="U12" s="236"/>
      <c r="V12" s="236"/>
      <c r="Z12" s="236"/>
      <c r="AA12" s="236"/>
      <c r="AB12" s="236"/>
      <c r="AH12" s="303"/>
    </row>
    <row r="13" spans="1:34" ht="13" customHeight="1">
      <c r="A13" s="89" t="str">
        <f>IF(ISERROR(VLOOKUP(C13,Datenblatt!$B$84:$B$97,1,FALSE)),"","Ft")</f>
        <v/>
      </c>
      <c r="B13" s="397">
        <f t="shared" ref="B13:B43" si="0">C13</f>
        <v>45443</v>
      </c>
      <c r="C13" s="149">
        <f>C14-1</f>
        <v>45443</v>
      </c>
      <c r="D13" s="153" t="str">
        <f>IF(Mai!D$44="","",Mai!D$44)</f>
        <v/>
      </c>
      <c r="E13" s="150" t="str">
        <f>IF(Mai!E$44="","",Mai!E$44)</f>
        <v/>
      </c>
      <c r="F13" s="150"/>
      <c r="G13" s="150"/>
      <c r="H13" s="150"/>
      <c r="I13" s="150"/>
      <c r="J13" s="252"/>
      <c r="K13" s="252"/>
      <c r="L13" s="170" t="str">
        <f>IF(D13="ND",9,IF(D13="ND12,5",8.5,""))</f>
        <v/>
      </c>
      <c r="M13" s="170" t="str">
        <f>IF(D13="ND",9,IF(D13="ND12,5",8.5,""))</f>
        <v/>
      </c>
      <c r="N13" s="600" t="str">
        <f>IF(OR(D13="ND",D13="ND12,5"),"Übertrag Vormonat","")</f>
        <v/>
      </c>
      <c r="O13" s="600"/>
      <c r="P13" s="193"/>
      <c r="Q13" s="174"/>
      <c r="R13" s="151"/>
      <c r="S13" s="152"/>
      <c r="T13" s="205"/>
      <c r="U13" s="206"/>
      <c r="V13" s="207"/>
      <c r="W13" s="207"/>
      <c r="X13" s="253"/>
      <c r="Y13" s="253"/>
      <c r="Z13" s="111" t="str">
        <f t="shared" ref="Z13" si="1">IF(E13="ND",25,IF(E13="ND12,5",12.5,""))</f>
        <v/>
      </c>
      <c r="AA13" s="206"/>
      <c r="AB13" s="208"/>
      <c r="AC13" s="208"/>
      <c r="AD13" s="208"/>
      <c r="AE13" s="208"/>
      <c r="AF13" s="112"/>
      <c r="AG13" s="112"/>
      <c r="AH13" s="304"/>
    </row>
    <row r="14" spans="1:34" ht="13" customHeight="1">
      <c r="A14" s="89" t="str">
        <f>IF(ISERROR(VLOOKUP(C14,Datenblatt!$B$84:$B$97,1,FALSE)),"","Ft")</f>
        <v/>
      </c>
      <c r="B14" s="84">
        <f t="shared" si="0"/>
        <v>45444</v>
      </c>
      <c r="C14" s="85">
        <f>DATE($D$8,MONTH(B$8),1)</f>
        <v>45444</v>
      </c>
      <c r="D14" s="67"/>
      <c r="E14" s="67"/>
      <c r="F14" s="68"/>
      <c r="G14" s="69"/>
      <c r="H14" s="68"/>
      <c r="I14" s="68"/>
      <c r="J14" s="99"/>
      <c r="K14" s="21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20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10" t="str">
        <f>IF(D14="","",IF(E13="ND",VLOOKUP(D14,Datenblatt!$A$2:$C$31,3,FALSE)-1,IF(E13="ND12,5",VLOOKUP(D14,Datenblatt!$A$2:$C$31,3,FALSE)-0.5,VLOOKUP(D14,Datenblatt!$A$2:$C$31,3,FALSE))))</f>
        <v/>
      </c>
      <c r="N14" s="211" t="str">
        <f t="shared" ref="N14:N43" si="2">IF(AND(F14="",G14=""),"",IF(OR(F14&gt;G14,AND(F14="",G14&gt;0),F14=G14),"ungültig",IF(OR(WEEKDAY(B14,2)=7,A14="Ft"),0,(G14-F14)*24)))</f>
        <v/>
      </c>
      <c r="O14" s="211" t="str">
        <f t="shared" ref="O14:O43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86">
        <f>IF(D14="",IF($P$47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$47="Freizeit",(-M14-J14+IF(ISNUMBER(N14),(N14*1.5),0)+IF(ISNUMBER(O14),(O14*2),0)+IF(OR(E14="ND",E14="ND12,5"),2,0)),(-M14-J14)),IF($P$47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103" t="str">
        <f>IF(D14="","",VLOOKUP(D14,Datenblatt!$A$2:$D$31,4,FALSE))</f>
        <v/>
      </c>
      <c r="R14" s="104" t="str">
        <f>IF(E14="","",VLOOKUP(E14,Datenblatt!$E$2:$G$28,2,FALSE))</f>
        <v/>
      </c>
      <c r="S14" s="105"/>
      <c r="T14" s="111">
        <f>IF(K14="",0,K14)</f>
        <v>0</v>
      </c>
      <c r="U14" s="110"/>
      <c r="V14" s="112"/>
      <c r="W14" s="113"/>
      <c r="X14" s="254"/>
      <c r="Y14" s="254"/>
      <c r="Z14" s="111" t="str">
        <f>IF(E14="ND",25,IF(E14="ND12,5",12.5,""))</f>
        <v/>
      </c>
      <c r="AA14" s="214">
        <f>IF(E13="ND",IF(ISERROR(MATCH(D14,Datenblatt!$L$2:$L$18,0)),3,2),IF(E13="ND12,5",IF(ISERROR(MATCH(D14,Datenblatt!$L$2:$L$18,0)),2.5,2),0))</f>
        <v>0</v>
      </c>
      <c r="AB14" s="214">
        <f>IF((IF(E14="ND",14-IF(D14="",0,VLOOKUP(D14,Datenblatt!$L$2:$M$30,2,FALSE)),IF(E14="ND12,5",2,0)))&lt;0,0,(IF(E14="ND",14-IF(D14="",0,VLOOKUP(D14,Datenblatt!$L$2:$M$30,2,FALSE)),IF(E14="ND12,5",2,0))))</f>
        <v>0</v>
      </c>
      <c r="AC14" s="214">
        <f>IF(OR(E14="ND",E14="ND12,5"),2,0)</f>
        <v>0</v>
      </c>
      <c r="AD14" s="214">
        <f>IF(OR(E13="ND",E13="ND12,5"),6,0)</f>
        <v>0</v>
      </c>
      <c r="AE14" s="214">
        <f>IF(AND(E13="ND",AA14&gt;=2),1,IF(AND(E13="ND12,5",AA14&gt;=2),0.5,0))</f>
        <v>0</v>
      </c>
      <c r="AF14" s="112">
        <f>IF(OR(D14="ND",D14="ND12,5"),2-X14,0)</f>
        <v>0</v>
      </c>
      <c r="AG14" s="112">
        <f>IF(OR(D13="ND",D13="ND12,5"),6-Y14,0)</f>
        <v>0</v>
      </c>
      <c r="AH14" s="112">
        <f>IF(E14="",0,VLOOKUP(E14,Datenblatt!$E$2:$G$28,3,FALSE))</f>
        <v>0</v>
      </c>
    </row>
    <row r="15" spans="1:34" ht="13" customHeight="1">
      <c r="A15" s="89" t="str">
        <f>IF(ISERROR(VLOOKUP(C15,Datenblatt!$B$84:$B$97,1,FALSE)),"","Ft")</f>
        <v/>
      </c>
      <c r="B15" s="84">
        <f t="shared" si="0"/>
        <v>45445</v>
      </c>
      <c r="C15" s="86">
        <f t="shared" ref="C15:C41" si="4">C14+1</f>
        <v>45445</v>
      </c>
      <c r="D15" s="67"/>
      <c r="E15" s="67"/>
      <c r="F15" s="68"/>
      <c r="G15" s="69"/>
      <c r="H15" s="68"/>
      <c r="I15" s="68"/>
      <c r="J15" s="99"/>
      <c r="K15" s="21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20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10" t="str">
        <f>IF(D15="","",IF(E14="ND",VLOOKUP(D15,Datenblatt!$A$2:$C$31,3,FALSE)-1,IF(E14="ND12,5",VLOOKUP(D15,Datenblatt!$A$2:$C$31,3,FALSE)-0.5,VLOOKUP(D15,Datenblatt!$A$2:$C$31,3,FALSE))))</f>
        <v/>
      </c>
      <c r="N15" s="211" t="str">
        <f t="shared" si="2"/>
        <v/>
      </c>
      <c r="O15" s="211">
        <f t="shared" si="3"/>
        <v>0</v>
      </c>
      <c r="P15" s="186">
        <f>IF(D15="",IF($P$47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$47="Freizeit",(-M15-J15+IF(ISNUMBER(N15),(N15*1.5),0)+IF(ISNUMBER(O15),(O15*2),0)+IF(OR(E15="ND",E15="ND12,5"),2,0)),(-M15-J15)),IF($P$47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103" t="str">
        <f>IF(D15="","",VLOOKUP(D15,Datenblatt!$A$2:$D$31,4,FALSE))</f>
        <v/>
      </c>
      <c r="R15" s="104" t="str">
        <f>IF(E15="","",VLOOKUP(E15,Datenblatt!$E$2:$G$28,2,FALSE))</f>
        <v/>
      </c>
      <c r="S15" s="105"/>
      <c r="T15" s="111">
        <f t="shared" ref="T15:T43" si="5">IF(K15="",0,K15)</f>
        <v>0</v>
      </c>
      <c r="U15" s="114">
        <f t="array" ref="U15">IF(T14=0,0,IF(AND((ROW(T14)=MATCH(TRUE,($T$1:$T$43)&gt;0,0)),(D14="ND")),IF(T14&lt;3,T14,3),IF(AND(ROW(T14)=MATCH(TRUE,($T$1:$T$43)&gt;0,0),D14="ND12,5"),IF(T14&lt;2.5,T14,2.5),IF(D14="ND12,5",2.5,(T14-V14-W14)))))</f>
        <v>0</v>
      </c>
      <c r="V15" s="112">
        <f t="array" ref="V15">IF(T15=0,0,IF(AND((ROW(T15)=MATCH(TRUE,($T$1:$T$43)&gt;0,0)),(D15="ND")),IF(AND(T15&gt;11,T15&lt;=25),T15-11,0),IF(AND(ROW(T15)=MATCH(TRUE,($T$1:$T$43)&gt;0,0),D15="ND12,5"),IF(AND(T15&gt;10.5,T15&lt;=12.5),T15-10.5,0),IF(D15="ND12,5",2,IF(T15&lt;14,T15,14)))))</f>
        <v>0</v>
      </c>
      <c r="W15" s="112">
        <f t="array" ref="W15">IF(T15=0,0,IF(AND((ROW(T15)=MATCH(TRUE,($T$1:$T$43)&gt;0,0)),(D15="ND")),IF(AND(T15&gt;3,T15&lt;11),T15-3,IF(T15&gt;=11,8,0)),IF(AND((ROW(T15)=MATCH(TRUE,($T$1:$T$43)&gt;0,0)),(D15="ND12,5")),IF(AND(T15&gt;2.5,T15&lt;10.5),T15-2.5,IF(T15&gt;=10.5,8,0)),IF(D15="ND12,5",8,IF(AND(T15&gt;14,T15&lt;22),(T15-V15),IF(T15&gt;=22,8,0))))))</f>
        <v>0</v>
      </c>
      <c r="X15" s="254">
        <f t="array" ref="X15">IF(T15=0,0,IF((AND((ROW(T15)=MATCH(TRUE,($T$1:$T$43)&gt;0,0)))),IF(W15&gt;=6,W15-6,0),IF(W15&gt;=2,2,W15)))</f>
        <v>0</v>
      </c>
      <c r="Y15" s="254">
        <f t="array" ref="Y15">IF(T14=0,0,(IF((AND((ROW(T14)=MATCH(TRUE,($T$1:$T$43)&gt;0,0)))),IF(W14&gt;=6,6,W14),IF(W14&gt;=2,W14-2,0))))</f>
        <v>0</v>
      </c>
      <c r="Z15" s="111" t="str">
        <f t="shared" ref="Z15:Z43" si="6">IF(E15="ND",25,IF(E15="ND12,5",12.5,""))</f>
        <v/>
      </c>
      <c r="AA15" s="214">
        <f>IF(E14="ND",IF(ISERROR(MATCH(D15,Datenblatt!$L$2:$L$18,0)),3,2),IF(E14="ND12,5",IF(ISERROR(MATCH(D15,Datenblatt!$L$2:$L$18,0)),2.5,2),0))</f>
        <v>0</v>
      </c>
      <c r="AB15" s="214">
        <f>IF((IF(E15="ND",14-IF(D15="",0,VLOOKUP(D15,Datenblatt!$L$2:$M$30,2,FALSE)),IF(E15="ND12,5",2,0)))&lt;0,0,(IF(E15="ND",14-IF(D15="",0,VLOOKUP(D15,Datenblatt!$L$2:$M$30,2,FALSE)),IF(E15="ND12,5",2,0))))</f>
        <v>0</v>
      </c>
      <c r="AC15" s="214">
        <f t="shared" ref="AC15:AC43" si="7">IF(OR(E15="ND",E15="ND12,5"),2,0)</f>
        <v>0</v>
      </c>
      <c r="AD15" s="214">
        <f t="shared" ref="AD15:AD43" si="8">IF(OR(E14="ND",E14="ND12,5"),6,0)</f>
        <v>0</v>
      </c>
      <c r="AE15" s="214">
        <f t="shared" ref="AE15:AE43" si="9">IF(AND(E14="ND",AA15&gt;=2),1,IF(AND(E14="ND12,5",AA15&gt;=2),0.5,0))</f>
        <v>0</v>
      </c>
      <c r="AF15" s="112">
        <f t="shared" ref="AF15:AF43" si="10">IF(OR(D15="ND",D15="ND12,5"),2-X15,0)</f>
        <v>0</v>
      </c>
      <c r="AG15" s="112">
        <f t="shared" ref="AG15:AG43" si="11">IF(OR(D14="ND",D14="ND12,5"),6-Y15,0)</f>
        <v>0</v>
      </c>
      <c r="AH15" s="112">
        <f>IF(E15="",0,VLOOKUP(E15,Datenblatt!$E$2:$G$28,3,FALSE))</f>
        <v>0</v>
      </c>
    </row>
    <row r="16" spans="1:34" ht="13" customHeight="1">
      <c r="A16" s="89" t="str">
        <f>IF(ISERROR(VLOOKUP(C16,Datenblatt!$B$84:$B$97,1,FALSE)),"","Ft")</f>
        <v/>
      </c>
      <c r="B16" s="84">
        <f t="shared" si="0"/>
        <v>45446</v>
      </c>
      <c r="C16" s="86">
        <f t="shared" si="4"/>
        <v>45446</v>
      </c>
      <c r="D16" s="67"/>
      <c r="E16" s="67"/>
      <c r="F16" s="68"/>
      <c r="G16" s="69"/>
      <c r="H16" s="68"/>
      <c r="I16" s="68"/>
      <c r="J16" s="99"/>
      <c r="K16" s="21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20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10" t="str">
        <f>IF(D16="","",IF(E15="ND",VLOOKUP(D16,Datenblatt!$A$2:$C$31,3,FALSE)-1,IF(E15="ND12,5",VLOOKUP(D16,Datenblatt!$A$2:$C$31,3,FALSE)-0.5,VLOOKUP(D16,Datenblatt!$A$2:$C$31,3,FALSE))))</f>
        <v/>
      </c>
      <c r="N16" s="211" t="str">
        <f t="shared" si="2"/>
        <v/>
      </c>
      <c r="O16" s="211" t="str">
        <f t="shared" si="3"/>
        <v/>
      </c>
      <c r="P16" s="186">
        <f>IF(D16="",IF($P$47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$47="Freizeit",(-M16-J16+IF(ISNUMBER(N16),(N16*1.5),0)+IF(ISNUMBER(O16),(O16*2),0)+IF(OR(E16="ND",E16="ND12,5"),2,0)),(-M16-J16)),IF($P$47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103" t="str">
        <f>IF(D16="","",VLOOKUP(D16,Datenblatt!$A$2:$D$31,4,FALSE))</f>
        <v/>
      </c>
      <c r="R16" s="104" t="str">
        <f>IF(E16="","",VLOOKUP(E16,Datenblatt!$E$2:$G$28,2,FALSE))</f>
        <v/>
      </c>
      <c r="S16" s="105"/>
      <c r="T16" s="111">
        <f t="shared" si="5"/>
        <v>0</v>
      </c>
      <c r="U16" s="114">
        <f t="array" ref="U16">IF(T15=0,0,IF(AND((ROW(T15)=MATCH(TRUE,($T$1:$T$43)&gt;0,0)),(D15="ND")),IF(T15&lt;3,T15,3),IF(AND(ROW(T15)=MATCH(TRUE,($T$1:$T$43)&gt;0,0),D15="ND12,5"),IF(T15&lt;2.5,T15,2.5),IF(D15="ND12,5",2.5,(T15-V15-W15)))))</f>
        <v>0</v>
      </c>
      <c r="V16" s="112">
        <f t="array" ref="V16">IF(T16=0,0,IF(AND((ROW(T16)=MATCH(TRUE,($T$1:$T$43)&gt;0,0)),(D16="ND")),IF(AND(T16&gt;11,T16&lt;=25),T16-11,0),IF(AND(ROW(T16)=MATCH(TRUE,($T$1:$T$43)&gt;0,0),D16="ND12,5"),IF(AND(T16&gt;10.5,T16&lt;=12.5),T16-10.5,0),IF(D16="ND12,5",2,IF(T16&lt;14,T16,14)))))</f>
        <v>0</v>
      </c>
      <c r="W16" s="112">
        <f t="array" ref="W16">IF(T16=0,0,IF(AND((ROW(T16)=MATCH(TRUE,($T$1:$T$43)&gt;0,0)),(D16="ND")),IF(AND(T16&gt;3,T16&lt;11),T16-3,IF(T16&gt;=11,8,0)),IF(AND((ROW(T16)=MATCH(TRUE,($T$1:$T$43)&gt;0,0)),(D16="ND12,5")),IF(AND(T16&gt;2.5,T16&lt;10.5),T16-2.5,IF(T16&gt;=10.5,8,0)),IF(D16="ND12,5",8,IF(AND(T16&gt;14,T16&lt;22),(T16-V16),IF(T16&gt;=22,8,0))))))</f>
        <v>0</v>
      </c>
      <c r="X16" s="254">
        <f t="array" ref="X16">IF(T16=0,0,IF((AND((ROW(T16)=MATCH(TRUE,($T$1:$T$43)&gt;0,0)))),IF(W16&gt;=6,W16-6,0),IF(W16&gt;=2,2,W16)))</f>
        <v>0</v>
      </c>
      <c r="Y16" s="254">
        <f t="array" ref="Y16">IF(T15=0,0,(IF((AND((ROW(T15)=MATCH(TRUE,($T$1:$T$43)&gt;0,0)))),IF(W15&gt;=6,6,W15),IF(W15&gt;=2,W15-2,0))))</f>
        <v>0</v>
      </c>
      <c r="Z16" s="111" t="str">
        <f t="shared" si="6"/>
        <v/>
      </c>
      <c r="AA16" s="214">
        <f>IF(E15="ND",IF(ISERROR(MATCH(D16,Datenblatt!$L$2:$L$18,0)),3,2),IF(E15="ND12,5",IF(ISERROR(MATCH(D16,Datenblatt!$L$2:$L$18,0)),2.5,2),0))</f>
        <v>0</v>
      </c>
      <c r="AB16" s="214">
        <f>IF((IF(E16="ND",14-IF(D16="",0,VLOOKUP(D16,Datenblatt!$L$2:$M$30,2,FALSE)),IF(E16="ND12,5",2,0)))&lt;0,0,(IF(E16="ND",14-IF(D16="",0,VLOOKUP(D16,Datenblatt!$L$2:$M$30,2,FALSE)),IF(E16="ND12,5",2,0))))</f>
        <v>0</v>
      </c>
      <c r="AC16" s="214">
        <f t="shared" si="7"/>
        <v>0</v>
      </c>
      <c r="AD16" s="214">
        <f t="shared" si="8"/>
        <v>0</v>
      </c>
      <c r="AE16" s="214">
        <f t="shared" si="9"/>
        <v>0</v>
      </c>
      <c r="AF16" s="112">
        <f t="shared" si="10"/>
        <v>0</v>
      </c>
      <c r="AG16" s="112">
        <f t="shared" si="11"/>
        <v>0</v>
      </c>
      <c r="AH16" s="112">
        <f>IF(E16="",0,VLOOKUP(E16,Datenblatt!$E$2:$G$28,3,FALSE))</f>
        <v>0</v>
      </c>
    </row>
    <row r="17" spans="1:34" ht="13" customHeight="1">
      <c r="A17" s="89" t="str">
        <f>IF(ISERROR(VLOOKUP(C17,Datenblatt!$B$84:$B$97,1,FALSE)),"","Ft")</f>
        <v/>
      </c>
      <c r="B17" s="84">
        <f t="shared" si="0"/>
        <v>45447</v>
      </c>
      <c r="C17" s="86">
        <f t="shared" si="4"/>
        <v>45447</v>
      </c>
      <c r="D17" s="67"/>
      <c r="E17" s="67"/>
      <c r="F17" s="68"/>
      <c r="G17" s="69"/>
      <c r="H17" s="68"/>
      <c r="I17" s="68"/>
      <c r="J17" s="99"/>
      <c r="K17" s="21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20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10" t="str">
        <f>IF(D17="","",IF(E16="ND",VLOOKUP(D17,Datenblatt!$A$2:$C$31,3,FALSE)-1,IF(E16="ND12,5",VLOOKUP(D17,Datenblatt!$A$2:$C$31,3,FALSE)-0.5,VLOOKUP(D17,Datenblatt!$A$2:$C$31,3,FALSE))))</f>
        <v/>
      </c>
      <c r="N17" s="211" t="str">
        <f t="shared" si="2"/>
        <v/>
      </c>
      <c r="O17" s="211" t="str">
        <f t="shared" si="3"/>
        <v/>
      </c>
      <c r="P17" s="186">
        <f>IF(D17="",IF($P$47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$47="Freizeit",(-M17-J17+IF(ISNUMBER(N17),(N17*1.5),0)+IF(ISNUMBER(O17),(O17*2),0)+IF(OR(E17="ND",E17="ND12,5"),2,0)),(-M17-J17)),IF($P$47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103" t="str">
        <f>IF(D17="","",VLOOKUP(D17,Datenblatt!$A$2:$D$31,4,FALSE))</f>
        <v/>
      </c>
      <c r="R17" s="104" t="str">
        <f>IF(E17="","",VLOOKUP(E17,Datenblatt!$E$2:$G$28,2,FALSE))</f>
        <v/>
      </c>
      <c r="S17" s="105"/>
      <c r="T17" s="111">
        <f t="shared" si="5"/>
        <v>0</v>
      </c>
      <c r="U17" s="114">
        <f t="array" ref="U17">IF(T16=0,0,IF(AND((ROW(T16)=MATCH(TRUE,($T$1:$T$43)&gt;0,0)),(D16="ND")),IF(T16&lt;3,T16,3),IF(AND(ROW(T16)=MATCH(TRUE,($T$1:$T$43)&gt;0,0),D16="ND12,5"),IF(T16&lt;2.5,T16,2.5),IF(D16="ND12,5",2.5,(T16-V16-W16)))))</f>
        <v>0</v>
      </c>
      <c r="V17" s="112">
        <f t="array" ref="V17">IF(T17=0,0,IF(AND((ROW(T17)=MATCH(TRUE,($T$1:$T$43)&gt;0,0)),(D17="ND")),IF(AND(T17&gt;11,T17&lt;=25),T17-11,0),IF(AND(ROW(T17)=MATCH(TRUE,($T$1:$T$43)&gt;0,0),D17="ND12,5"),IF(AND(T17&gt;10.5,T17&lt;=12.5),T17-10.5,0),IF(D17="ND12,5",2,IF(T17&lt;14,T17,14)))))</f>
        <v>0</v>
      </c>
      <c r="W17" s="112">
        <f t="array" ref="W17">IF(T17=0,0,IF(AND((ROW(T17)=MATCH(TRUE,($T$1:$T$43)&gt;0,0)),(D17="ND")),IF(AND(T17&gt;3,T17&lt;11),T17-3,IF(T17&gt;=11,8,0)),IF(AND((ROW(T17)=MATCH(TRUE,($T$1:$T$43)&gt;0,0)),(D17="ND12,5")),IF(AND(T17&gt;2.5,T17&lt;10.5),T17-2.5,IF(T17&gt;=10.5,8,0)),IF(D17="ND12,5",8,IF(AND(T17&gt;14,T17&lt;22),(T17-V17),IF(T17&gt;=22,8,0))))))</f>
        <v>0</v>
      </c>
      <c r="X17" s="254">
        <f t="array" ref="X17">IF(T17=0,0,IF((AND((ROW(T17)=MATCH(TRUE,($T$1:$T$43)&gt;0,0)))),IF(W17&gt;=6,W17-6,0),IF(W17&gt;=2,2,W17)))</f>
        <v>0</v>
      </c>
      <c r="Y17" s="254">
        <f t="array" ref="Y17">IF(T16=0,0,(IF((AND((ROW(T16)=MATCH(TRUE,($T$1:$T$43)&gt;0,0)))),IF(W16&gt;=6,6,W16),IF(W16&gt;=2,W16-2,0))))</f>
        <v>0</v>
      </c>
      <c r="Z17" s="111" t="str">
        <f t="shared" si="6"/>
        <v/>
      </c>
      <c r="AA17" s="214">
        <f>IF(E16="ND",IF(ISERROR(MATCH(D17,Datenblatt!$L$2:$L$18,0)),3,2),IF(E16="ND12,5",IF(ISERROR(MATCH(D17,Datenblatt!$L$2:$L$18,0)),2.5,2),0))</f>
        <v>0</v>
      </c>
      <c r="AB17" s="214">
        <f>IF((IF(E17="ND",14-IF(D17="",0,VLOOKUP(D17,Datenblatt!$L$2:$M$30,2,FALSE)),IF(E17="ND12,5",2,0)))&lt;0,0,(IF(E17="ND",14-IF(D17="",0,VLOOKUP(D17,Datenblatt!$L$2:$M$30,2,FALSE)),IF(E17="ND12,5",2,0))))</f>
        <v>0</v>
      </c>
      <c r="AC17" s="214">
        <f t="shared" si="7"/>
        <v>0</v>
      </c>
      <c r="AD17" s="214">
        <f t="shared" si="8"/>
        <v>0</v>
      </c>
      <c r="AE17" s="214">
        <f t="shared" si="9"/>
        <v>0</v>
      </c>
      <c r="AF17" s="112">
        <f t="shared" si="10"/>
        <v>0</v>
      </c>
      <c r="AG17" s="112">
        <f t="shared" si="11"/>
        <v>0</v>
      </c>
      <c r="AH17" s="112">
        <f>IF(E17="",0,VLOOKUP(E17,Datenblatt!$E$2:$G$28,3,FALSE))</f>
        <v>0</v>
      </c>
    </row>
    <row r="18" spans="1:34" ht="13" customHeight="1">
      <c r="A18" s="89" t="str">
        <f>IF(ISERROR(VLOOKUP(C18,Datenblatt!$B$84:$B$97,1,FALSE)),"","Ft")</f>
        <v/>
      </c>
      <c r="B18" s="84">
        <f t="shared" si="0"/>
        <v>45448</v>
      </c>
      <c r="C18" s="86">
        <f t="shared" si="4"/>
        <v>45448</v>
      </c>
      <c r="D18" s="67"/>
      <c r="E18" s="67"/>
      <c r="F18" s="68"/>
      <c r="G18" s="69"/>
      <c r="H18" s="68"/>
      <c r="I18" s="68"/>
      <c r="J18" s="99"/>
      <c r="K18" s="21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20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10" t="str">
        <f>IF(D18="","",IF(E17="ND",VLOOKUP(D18,Datenblatt!$A$2:$C$31,3,FALSE)-1,IF(E17="ND12,5",VLOOKUP(D18,Datenblatt!$A$2:$C$31,3,FALSE)-0.5,VLOOKUP(D18,Datenblatt!$A$2:$C$31,3,FALSE))))</f>
        <v/>
      </c>
      <c r="N18" s="211" t="str">
        <f t="shared" si="2"/>
        <v/>
      </c>
      <c r="O18" s="211" t="str">
        <f t="shared" si="3"/>
        <v/>
      </c>
      <c r="P18" s="186">
        <f>IF(D18="",IF($P$47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$47="Freizeit",(-M18-J18+IF(ISNUMBER(N18),(N18*1.5),0)+IF(ISNUMBER(O18),(O18*2),0)+IF(OR(E18="ND",E18="ND12,5"),2,0)),(-M18-J18)),IF($P$47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103" t="str">
        <f>IF(D18="","",VLOOKUP(D18,Datenblatt!$A$2:$D$31,4,FALSE))</f>
        <v/>
      </c>
      <c r="R18" s="104" t="str">
        <f>IF(E18="","",VLOOKUP(E18,Datenblatt!$E$2:$G$28,2,FALSE))</f>
        <v/>
      </c>
      <c r="S18" s="105"/>
      <c r="T18" s="111">
        <f t="shared" si="5"/>
        <v>0</v>
      </c>
      <c r="U18" s="114">
        <f t="array" ref="U18">IF(T17=0,0,IF(AND((ROW(T17)=MATCH(TRUE,($T$1:$T$43)&gt;0,0)),(D17="ND")),IF(T17&lt;3,T17,3),IF(AND(ROW(T17)=MATCH(TRUE,($T$1:$T$43)&gt;0,0),D17="ND12,5"),IF(T17&lt;2.5,T17,2.5),IF(D17="ND12,5",2.5,(T17-V17-W17)))))</f>
        <v>0</v>
      </c>
      <c r="V18" s="112">
        <f t="array" ref="V18">IF(T18=0,0,IF(AND((ROW(T18)=MATCH(TRUE,($T$1:$T$43)&gt;0,0)),(D18="ND")),IF(AND(T18&gt;11,T18&lt;=25),T18-11,0),IF(AND(ROW(T18)=MATCH(TRUE,($T$1:$T$43)&gt;0,0),D18="ND12,5"),IF(AND(T18&gt;10.5,T18&lt;=12.5),T18-10.5,0),IF(D18="ND12,5",2,IF(T18&lt;14,T18,14)))))</f>
        <v>0</v>
      </c>
      <c r="W18" s="112">
        <f t="array" ref="W18">IF(T18=0,0,IF(AND((ROW(T18)=MATCH(TRUE,($T$1:$T$43)&gt;0,0)),(D18="ND")),IF(AND(T18&gt;3,T18&lt;11),T18-3,IF(T18&gt;=11,8,0)),IF(AND((ROW(T18)=MATCH(TRUE,($T$1:$T$43)&gt;0,0)),(D18="ND12,5")),IF(AND(T18&gt;2.5,T18&lt;10.5),T18-2.5,IF(T18&gt;=10.5,8,0)),IF(D18="ND12,5",8,IF(AND(T18&gt;14,T18&lt;22),(T18-V18),IF(T18&gt;=22,8,0))))))</f>
        <v>0</v>
      </c>
      <c r="X18" s="254">
        <f t="array" ref="X18">IF(T18=0,0,IF((AND((ROW(T18)=MATCH(TRUE,($T$1:$T$43)&gt;0,0)))),IF(W18&gt;=6,W18-6,0),IF(W18&gt;=2,2,W18)))</f>
        <v>0</v>
      </c>
      <c r="Y18" s="254">
        <f t="array" ref="Y18">IF(T17=0,0,(IF((AND((ROW(T17)=MATCH(TRUE,($T$1:$T$43)&gt;0,0)))),IF(W17&gt;=6,6,W17),IF(W17&gt;=2,W17-2,0))))</f>
        <v>0</v>
      </c>
      <c r="Z18" s="111" t="str">
        <f t="shared" si="6"/>
        <v/>
      </c>
      <c r="AA18" s="214">
        <f>IF(E17="ND",IF(ISERROR(MATCH(D18,Datenblatt!$L$2:$L$18,0)),3,2),IF(E17="ND12,5",IF(ISERROR(MATCH(D18,Datenblatt!$L$2:$L$18,0)),2.5,2),0))</f>
        <v>0</v>
      </c>
      <c r="AB18" s="214">
        <f>IF((IF(E18="ND",14-IF(D18="",0,VLOOKUP(D18,Datenblatt!$L$2:$M$30,2,FALSE)),IF(E18="ND12,5",2,0)))&lt;0,0,(IF(E18="ND",14-IF(D18="",0,VLOOKUP(D18,Datenblatt!$L$2:$M$30,2,FALSE)),IF(E18="ND12,5",2,0))))</f>
        <v>0</v>
      </c>
      <c r="AC18" s="214">
        <f t="shared" si="7"/>
        <v>0</v>
      </c>
      <c r="AD18" s="214">
        <f t="shared" si="8"/>
        <v>0</v>
      </c>
      <c r="AE18" s="214">
        <f t="shared" si="9"/>
        <v>0</v>
      </c>
      <c r="AF18" s="112">
        <f t="shared" si="10"/>
        <v>0</v>
      </c>
      <c r="AG18" s="112">
        <f t="shared" si="11"/>
        <v>0</v>
      </c>
      <c r="AH18" s="112">
        <f>IF(E18="",0,VLOOKUP(E18,Datenblatt!$E$2:$G$28,3,FALSE))</f>
        <v>0</v>
      </c>
    </row>
    <row r="19" spans="1:34" ht="13" customHeight="1">
      <c r="A19" s="89" t="str">
        <f>IF(ISERROR(VLOOKUP(C19,Datenblatt!$B$84:$B$97,1,FALSE)),"","Ft")</f>
        <v/>
      </c>
      <c r="B19" s="84">
        <f t="shared" si="0"/>
        <v>45449</v>
      </c>
      <c r="C19" s="86">
        <f t="shared" si="4"/>
        <v>45449</v>
      </c>
      <c r="D19" s="67"/>
      <c r="E19" s="67"/>
      <c r="F19" s="68"/>
      <c r="G19" s="69"/>
      <c r="H19" s="68"/>
      <c r="I19" s="68"/>
      <c r="J19" s="99"/>
      <c r="K19" s="21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20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10" t="str">
        <f>IF(D19="","",IF(E18="ND",VLOOKUP(D19,Datenblatt!$A$2:$C$31,3,FALSE)-1,IF(E18="ND12,5",VLOOKUP(D19,Datenblatt!$A$2:$C$31,3,FALSE)-0.5,VLOOKUP(D19,Datenblatt!$A$2:$C$31,3,FALSE))))</f>
        <v/>
      </c>
      <c r="N19" s="211" t="str">
        <f t="shared" si="2"/>
        <v/>
      </c>
      <c r="O19" s="211" t="str">
        <f t="shared" si="3"/>
        <v/>
      </c>
      <c r="P19" s="186">
        <f>IF(D19="",IF($P$47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$47="Freizeit",(-M19-J19+IF(ISNUMBER(N19),(N19*1.5),0)+IF(ISNUMBER(O19),(O19*2),0)+IF(OR(E19="ND",E19="ND12,5"),2,0)),(-M19-J19)),IF($P$47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103" t="str">
        <f>IF(D19="","",VLOOKUP(D19,Datenblatt!$A$2:$D$31,4,FALSE))</f>
        <v/>
      </c>
      <c r="R19" s="104" t="str">
        <f>IF(E19="","",VLOOKUP(E19,Datenblatt!$E$2:$G$28,2,FALSE))</f>
        <v/>
      </c>
      <c r="S19" s="105"/>
      <c r="T19" s="111">
        <f t="shared" si="5"/>
        <v>0</v>
      </c>
      <c r="U19" s="114">
        <f t="array" ref="U19">IF(T18=0,0,IF(AND((ROW(T18)=MATCH(TRUE,($T$1:$T$43)&gt;0,0)),(D18="ND")),IF(T18&lt;3,T18,3),IF(AND(ROW(T18)=MATCH(TRUE,($T$1:$T$43)&gt;0,0),D18="ND12,5"),IF(T18&lt;2.5,T18,2.5),IF(D18="ND12,5",2.5,(T18-V18-W18)))))</f>
        <v>0</v>
      </c>
      <c r="V19" s="112">
        <f t="array" ref="V19">IF(T19=0,0,IF(AND((ROW(T19)=MATCH(TRUE,($T$1:$T$43)&gt;0,0)),(D19="ND")),IF(AND(T19&gt;11,T19&lt;=25),T19-11,0),IF(AND(ROW(T19)=MATCH(TRUE,($T$1:$T$43)&gt;0,0),D19="ND12,5"),IF(AND(T19&gt;10.5,T19&lt;=12.5),T19-10.5,0),IF(D19="ND12,5",2,IF(T19&lt;14,T19,14)))))</f>
        <v>0</v>
      </c>
      <c r="W19" s="112">
        <f t="array" ref="W19">IF(T19=0,0,IF(AND((ROW(T19)=MATCH(TRUE,($T$1:$T$43)&gt;0,0)),(D19="ND")),IF(AND(T19&gt;3,T19&lt;11),T19-3,IF(T19&gt;=11,8,0)),IF(AND((ROW(T19)=MATCH(TRUE,($T$1:$T$43)&gt;0,0)),(D19="ND12,5")),IF(AND(T19&gt;2.5,T19&lt;10.5),T19-2.5,IF(T19&gt;=10.5,8,0)),IF(D19="ND12,5",8,IF(AND(T19&gt;14,T19&lt;22),(T19-V19),IF(T19&gt;=22,8,0))))))</f>
        <v>0</v>
      </c>
      <c r="X19" s="254">
        <f t="array" ref="X19">IF(T19=0,0,IF((AND((ROW(T19)=MATCH(TRUE,($T$1:$T$43)&gt;0,0)))),IF(W19&gt;=6,W19-6,0),IF(W19&gt;=2,2,W19)))</f>
        <v>0</v>
      </c>
      <c r="Y19" s="254">
        <f t="array" ref="Y19">IF(T18=0,0,(IF((AND((ROW(T18)=MATCH(TRUE,($T$1:$T$43)&gt;0,0)))),IF(W18&gt;=6,6,W18),IF(W18&gt;=2,W18-2,0))))</f>
        <v>0</v>
      </c>
      <c r="Z19" s="111" t="str">
        <f t="shared" si="6"/>
        <v/>
      </c>
      <c r="AA19" s="214">
        <f>IF(E18="ND",IF(ISERROR(MATCH(D19,Datenblatt!$L$2:$L$18,0)),3,2),IF(E18="ND12,5",IF(ISERROR(MATCH(D19,Datenblatt!$L$2:$L$18,0)),2.5,2),0))</f>
        <v>0</v>
      </c>
      <c r="AB19" s="214">
        <f>IF((IF(E19="ND",14-IF(D19="",0,VLOOKUP(D19,Datenblatt!$L$2:$M$30,2,FALSE)),IF(E19="ND12,5",2,0)))&lt;0,0,(IF(E19="ND",14-IF(D19="",0,VLOOKUP(D19,Datenblatt!$L$2:$M$30,2,FALSE)),IF(E19="ND12,5",2,0))))</f>
        <v>0</v>
      </c>
      <c r="AC19" s="214">
        <f t="shared" si="7"/>
        <v>0</v>
      </c>
      <c r="AD19" s="214">
        <f t="shared" si="8"/>
        <v>0</v>
      </c>
      <c r="AE19" s="214">
        <f t="shared" si="9"/>
        <v>0</v>
      </c>
      <c r="AF19" s="112">
        <f t="shared" si="10"/>
        <v>0</v>
      </c>
      <c r="AG19" s="112">
        <f t="shared" si="11"/>
        <v>0</v>
      </c>
      <c r="AH19" s="112">
        <f>IF(E19="",0,VLOOKUP(E19,Datenblatt!$E$2:$G$28,3,FALSE))</f>
        <v>0</v>
      </c>
    </row>
    <row r="20" spans="1:34" ht="13" customHeight="1">
      <c r="A20" s="89" t="str">
        <f>IF(ISERROR(VLOOKUP(C20,Datenblatt!$B$84:$B$97,1,FALSE)),"","Ft")</f>
        <v/>
      </c>
      <c r="B20" s="84">
        <f t="shared" si="0"/>
        <v>45450</v>
      </c>
      <c r="C20" s="86">
        <f t="shared" si="4"/>
        <v>45450</v>
      </c>
      <c r="D20" s="67"/>
      <c r="E20" s="67"/>
      <c r="F20" s="68"/>
      <c r="G20" s="69"/>
      <c r="H20" s="68"/>
      <c r="I20" s="68"/>
      <c r="J20" s="99"/>
      <c r="K20" s="21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20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10" t="str">
        <f>IF(D20="","",IF(E19="ND",VLOOKUP(D20,Datenblatt!$A$2:$C$31,3,FALSE)-1,IF(E19="ND12,5",VLOOKUP(D20,Datenblatt!$A$2:$C$31,3,FALSE)-0.5,VLOOKUP(D20,Datenblatt!$A$2:$C$31,3,FALSE))))</f>
        <v/>
      </c>
      <c r="N20" s="211" t="str">
        <f t="shared" si="2"/>
        <v/>
      </c>
      <c r="O20" s="211" t="str">
        <f t="shared" si="3"/>
        <v/>
      </c>
      <c r="P20" s="186">
        <f>IF(D20="",IF($P$47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$47="Freizeit",(-M20-J20+IF(ISNUMBER(N20),(N20*1.5),0)+IF(ISNUMBER(O20),(O20*2),0)+IF(OR(E20="ND",E20="ND12,5"),2,0)),(-M20-J20)),IF($P$47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103" t="str">
        <f>IF(D20="","",VLOOKUP(D20,Datenblatt!$A$2:$D$31,4,FALSE))</f>
        <v/>
      </c>
      <c r="R20" s="104" t="str">
        <f>IF(E20="","",VLOOKUP(E20,Datenblatt!$E$2:$G$28,2,FALSE))</f>
        <v/>
      </c>
      <c r="S20" s="105"/>
      <c r="T20" s="111">
        <f t="shared" si="5"/>
        <v>0</v>
      </c>
      <c r="U20" s="114">
        <f t="array" ref="U20">IF(T19=0,0,IF(AND((ROW(T19)=MATCH(TRUE,($T$1:$T$43)&gt;0,0)),(D19="ND")),IF(T19&lt;3,T19,3),IF(AND(ROW(T19)=MATCH(TRUE,($T$1:$T$43)&gt;0,0),D19="ND12,5"),IF(T19&lt;2.5,T19,2.5),IF(D19="ND12,5",2.5,(T19-V19-W19)))))</f>
        <v>0</v>
      </c>
      <c r="V20" s="112">
        <f t="array" ref="V20">IF(T20=0,0,IF(AND((ROW(T20)=MATCH(TRUE,($T$1:$T$43)&gt;0,0)),(D20="ND")),IF(AND(T20&gt;11,T20&lt;=25),T20-11,0),IF(AND(ROW(T20)=MATCH(TRUE,($T$1:$T$43)&gt;0,0),D20="ND12,5"),IF(AND(T20&gt;10.5,T20&lt;=12.5),T20-10.5,0),IF(D20="ND12,5",2,IF(T20&lt;14,T20,14)))))</f>
        <v>0</v>
      </c>
      <c r="W20" s="112">
        <f t="array" ref="W20">IF(T20=0,0,IF(AND((ROW(T20)=MATCH(TRUE,($T$1:$T$43)&gt;0,0)),(D20="ND")),IF(AND(T20&gt;3,T20&lt;11),T20-3,IF(T20&gt;=11,8,0)),IF(AND((ROW(T20)=MATCH(TRUE,($T$1:$T$43)&gt;0,0)),(D20="ND12,5")),IF(AND(T20&gt;2.5,T20&lt;10.5),T20-2.5,IF(T20&gt;=10.5,8,0)),IF(D20="ND12,5",8,IF(AND(T20&gt;14,T20&lt;22),(T20-V20),IF(T20&gt;=22,8,0))))))</f>
        <v>0</v>
      </c>
      <c r="X20" s="254">
        <f t="array" ref="X20">IF(T20=0,0,IF((AND((ROW(T20)=MATCH(TRUE,($T$1:$T$43)&gt;0,0)))),IF(W20&gt;=6,W20-6,0),IF(W20&gt;=2,2,W20)))</f>
        <v>0</v>
      </c>
      <c r="Y20" s="254">
        <f t="array" ref="Y20">IF(T19=0,0,(IF((AND((ROW(T19)=MATCH(TRUE,($T$1:$T$43)&gt;0,0)))),IF(W19&gt;=6,6,W19),IF(W19&gt;=2,W19-2,0))))</f>
        <v>0</v>
      </c>
      <c r="Z20" s="111" t="str">
        <f t="shared" si="6"/>
        <v/>
      </c>
      <c r="AA20" s="214">
        <f>IF(E19="ND",IF(ISERROR(MATCH(D20,Datenblatt!$L$2:$L$18,0)),3,2),IF(E19="ND12,5",IF(ISERROR(MATCH(D20,Datenblatt!$L$2:$L$18,0)),2.5,2),0))</f>
        <v>0</v>
      </c>
      <c r="AB20" s="214">
        <f>IF((IF(E20="ND",14-IF(D20="",0,VLOOKUP(D20,Datenblatt!$L$2:$M$30,2,FALSE)),IF(E20="ND12,5",2,0)))&lt;0,0,(IF(E20="ND",14-IF(D20="",0,VLOOKUP(D20,Datenblatt!$L$2:$M$30,2,FALSE)),IF(E20="ND12,5",2,0))))</f>
        <v>0</v>
      </c>
      <c r="AC20" s="214">
        <f t="shared" si="7"/>
        <v>0</v>
      </c>
      <c r="AD20" s="214">
        <f t="shared" si="8"/>
        <v>0</v>
      </c>
      <c r="AE20" s="214">
        <f t="shared" si="9"/>
        <v>0</v>
      </c>
      <c r="AF20" s="112">
        <f t="shared" si="10"/>
        <v>0</v>
      </c>
      <c r="AG20" s="112">
        <f t="shared" si="11"/>
        <v>0</v>
      </c>
      <c r="AH20" s="112">
        <f>IF(E20="",0,VLOOKUP(E20,Datenblatt!$E$2:$G$28,3,FALSE))</f>
        <v>0</v>
      </c>
    </row>
    <row r="21" spans="1:34" ht="13" customHeight="1">
      <c r="A21" s="89" t="str">
        <f>IF(ISERROR(VLOOKUP(C21,Datenblatt!$B$84:$B$97,1,FALSE)),"","Ft")</f>
        <v/>
      </c>
      <c r="B21" s="84">
        <f t="shared" si="0"/>
        <v>45451</v>
      </c>
      <c r="C21" s="86">
        <f t="shared" si="4"/>
        <v>45451</v>
      </c>
      <c r="D21" s="67"/>
      <c r="E21" s="67"/>
      <c r="F21" s="68"/>
      <c r="G21" s="69"/>
      <c r="H21" s="68"/>
      <c r="I21" s="68"/>
      <c r="J21" s="99"/>
      <c r="K21" s="21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20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10" t="str">
        <f>IF(D21="","",IF(E20="ND",VLOOKUP(D21,Datenblatt!$A$2:$C$31,3,FALSE)-1,IF(E20="ND12,5",VLOOKUP(D21,Datenblatt!$A$2:$C$31,3,FALSE)-0.5,VLOOKUP(D21,Datenblatt!$A$2:$C$31,3,FALSE))))</f>
        <v/>
      </c>
      <c r="N21" s="211" t="str">
        <f t="shared" si="2"/>
        <v/>
      </c>
      <c r="O21" s="211" t="str">
        <f t="shared" si="3"/>
        <v/>
      </c>
      <c r="P21" s="186">
        <f>IF(D21="",IF($P$47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$47="Freizeit",(-M21-J21+IF(ISNUMBER(N21),(N21*1.5),0)+IF(ISNUMBER(O21),(O21*2),0)+IF(OR(E21="ND",E21="ND12,5"),2,0)),(-M21-J21)),IF($P$47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103" t="str">
        <f>IF(D21="","",VLOOKUP(D21,Datenblatt!$A$2:$D$31,4,FALSE))</f>
        <v/>
      </c>
      <c r="R21" s="104" t="str">
        <f>IF(E21="","",VLOOKUP(E21,Datenblatt!$E$2:$G$28,2,FALSE))</f>
        <v/>
      </c>
      <c r="S21" s="105"/>
      <c r="T21" s="111">
        <f t="shared" si="5"/>
        <v>0</v>
      </c>
      <c r="U21" s="114">
        <f t="array" ref="U21">IF(T20=0,0,IF(AND((ROW(T20)=MATCH(TRUE,($T$1:$T$43)&gt;0,0)),(D20="ND")),IF(T20&lt;3,T20,3),IF(AND(ROW(T20)=MATCH(TRUE,($T$1:$T$43)&gt;0,0),D20="ND12,5"),IF(T20&lt;2.5,T20,2.5),IF(D20="ND12,5",2.5,(T20-V20-W20)))))</f>
        <v>0</v>
      </c>
      <c r="V21" s="112">
        <f t="array" ref="V21">IF(T21=0,0,IF(AND((ROW(T21)=MATCH(TRUE,($T$1:$T$43)&gt;0,0)),(D21="ND")),IF(AND(T21&gt;11,T21&lt;=25),T21-11,0),IF(AND(ROW(T21)=MATCH(TRUE,($T$1:$T$43)&gt;0,0),D21="ND12,5"),IF(AND(T21&gt;10.5,T21&lt;=12.5),T21-10.5,0),IF(D21="ND12,5",2,IF(T21&lt;14,T21,14)))))</f>
        <v>0</v>
      </c>
      <c r="W21" s="112">
        <f t="array" ref="W21">IF(T21=0,0,IF(AND((ROW(T21)=MATCH(TRUE,($T$1:$T$43)&gt;0,0)),(D21="ND")),IF(AND(T21&gt;3,T21&lt;11),T21-3,IF(T21&gt;=11,8,0)),IF(AND((ROW(T21)=MATCH(TRUE,($T$1:$T$43)&gt;0,0)),(D21="ND12,5")),IF(AND(T21&gt;2.5,T21&lt;10.5),T21-2.5,IF(T21&gt;=10.5,8,0)),IF(D21="ND12,5",8,IF(AND(T21&gt;14,T21&lt;22),(T21-V21),IF(T21&gt;=22,8,0))))))</f>
        <v>0</v>
      </c>
      <c r="X21" s="254">
        <f t="array" ref="X21">IF(T21=0,0,IF((AND((ROW(T21)=MATCH(TRUE,($T$1:$T$43)&gt;0,0)))),IF(W21&gt;=6,W21-6,0),IF(W21&gt;=2,2,W21)))</f>
        <v>0</v>
      </c>
      <c r="Y21" s="254">
        <f t="array" ref="Y21">IF(T20=0,0,(IF((AND((ROW(T20)=MATCH(TRUE,($T$1:$T$43)&gt;0,0)))),IF(W20&gt;=6,6,W20),IF(W20&gt;=2,W20-2,0))))</f>
        <v>0</v>
      </c>
      <c r="Z21" s="111" t="str">
        <f t="shared" si="6"/>
        <v/>
      </c>
      <c r="AA21" s="214">
        <f>IF(E20="ND",IF(ISERROR(MATCH(D21,Datenblatt!$L$2:$L$18,0)),3,2),IF(E20="ND12,5",IF(ISERROR(MATCH(D21,Datenblatt!$L$2:$L$18,0)),2.5,2),0))</f>
        <v>0</v>
      </c>
      <c r="AB21" s="214">
        <f>IF((IF(E21="ND",14-IF(D21="",0,VLOOKUP(D21,Datenblatt!$L$2:$M$30,2,FALSE)),IF(E21="ND12,5",2,0)))&lt;0,0,(IF(E21="ND",14-IF(D21="",0,VLOOKUP(D21,Datenblatt!$L$2:$M$30,2,FALSE)),IF(E21="ND12,5",2,0))))</f>
        <v>0</v>
      </c>
      <c r="AC21" s="214">
        <f t="shared" si="7"/>
        <v>0</v>
      </c>
      <c r="AD21" s="214">
        <f t="shared" si="8"/>
        <v>0</v>
      </c>
      <c r="AE21" s="214">
        <f t="shared" si="9"/>
        <v>0</v>
      </c>
      <c r="AF21" s="112">
        <f t="shared" si="10"/>
        <v>0</v>
      </c>
      <c r="AG21" s="112">
        <f t="shared" si="11"/>
        <v>0</v>
      </c>
      <c r="AH21" s="112">
        <f>IF(E21="",0,VLOOKUP(E21,Datenblatt!$E$2:$G$28,3,FALSE))</f>
        <v>0</v>
      </c>
    </row>
    <row r="22" spans="1:34" ht="13" customHeight="1">
      <c r="A22" s="89" t="str">
        <f>IF(ISERROR(VLOOKUP(C22,Datenblatt!$B$84:$B$97,1,FALSE)),"","Ft")</f>
        <v/>
      </c>
      <c r="B22" s="84">
        <f t="shared" si="0"/>
        <v>45452</v>
      </c>
      <c r="C22" s="86">
        <f t="shared" si="4"/>
        <v>45452</v>
      </c>
      <c r="D22" s="67"/>
      <c r="E22" s="67"/>
      <c r="F22" s="68"/>
      <c r="G22" s="69"/>
      <c r="H22" s="68"/>
      <c r="I22" s="68"/>
      <c r="J22" s="99"/>
      <c r="K22" s="21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20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10" t="str">
        <f>IF(D22="","",IF(E21="ND",VLOOKUP(D22,Datenblatt!$A$2:$C$31,3,FALSE)-1,IF(E21="ND12,5",VLOOKUP(D22,Datenblatt!$A$2:$C$31,3,FALSE)-0.5,VLOOKUP(D22,Datenblatt!$A$2:$C$31,3,FALSE))))</f>
        <v/>
      </c>
      <c r="N22" s="211" t="str">
        <f t="shared" si="2"/>
        <v/>
      </c>
      <c r="O22" s="211">
        <f t="shared" si="3"/>
        <v>0</v>
      </c>
      <c r="P22" s="186">
        <f>IF(D22="",IF($P$47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$47="Freizeit",(-M22-J22+IF(ISNUMBER(N22),(N22*1.5),0)+IF(ISNUMBER(O22),(O22*2),0)+IF(OR(E22="ND",E22="ND12,5"),2,0)),(-M22-J22)),IF($P$47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103" t="str">
        <f>IF(D22="","",VLOOKUP(D22,Datenblatt!$A$2:$D$31,4,FALSE))</f>
        <v/>
      </c>
      <c r="R22" s="104" t="str">
        <f>IF(E22="","",VLOOKUP(E22,Datenblatt!$E$2:$G$28,2,FALSE))</f>
        <v/>
      </c>
      <c r="S22" s="105"/>
      <c r="T22" s="111">
        <f t="shared" si="5"/>
        <v>0</v>
      </c>
      <c r="U22" s="114">
        <f t="array" ref="U22">IF(T21=0,0,IF(AND((ROW(T21)=MATCH(TRUE,($T$1:$T$43)&gt;0,0)),(D21="ND")),IF(T21&lt;3,T21,3),IF(AND(ROW(T21)=MATCH(TRUE,($T$1:$T$43)&gt;0,0),D21="ND12,5"),IF(T21&lt;2.5,T21,2.5),IF(D21="ND12,5",2.5,(T21-V21-W21)))))</f>
        <v>0</v>
      </c>
      <c r="V22" s="112">
        <f t="array" ref="V22">IF(T22=0,0,IF(AND((ROW(T22)=MATCH(TRUE,($T$1:$T$43)&gt;0,0)),(D22="ND")),IF(AND(T22&gt;11,T22&lt;=25),T22-11,0),IF(AND(ROW(T22)=MATCH(TRUE,($T$1:$T$43)&gt;0,0),D22="ND12,5"),IF(AND(T22&gt;10.5,T22&lt;=12.5),T22-10.5,0),IF(D22="ND12,5",2,IF(T22&lt;14,T22,14)))))</f>
        <v>0</v>
      </c>
      <c r="W22" s="112">
        <f t="array" ref="W22">IF(T22=0,0,IF(AND((ROW(T22)=MATCH(TRUE,($T$1:$T$43)&gt;0,0)),(D22="ND")),IF(AND(T22&gt;3,T22&lt;11),T22-3,IF(T22&gt;=11,8,0)),IF(AND((ROW(T22)=MATCH(TRUE,($T$1:$T$43)&gt;0,0)),(D22="ND12,5")),IF(AND(T22&gt;2.5,T22&lt;10.5),T22-2.5,IF(T22&gt;=10.5,8,0)),IF(D22="ND12,5",8,IF(AND(T22&gt;14,T22&lt;22),(T22-V22),IF(T22&gt;=22,8,0))))))</f>
        <v>0</v>
      </c>
      <c r="X22" s="254">
        <f t="array" ref="X22">IF(T22=0,0,IF((AND((ROW(T22)=MATCH(TRUE,($T$1:$T$43)&gt;0,0)))),IF(W22&gt;=6,W22-6,0),IF(W22&gt;=2,2,W22)))</f>
        <v>0</v>
      </c>
      <c r="Y22" s="254">
        <f t="array" ref="Y22">IF(T21=0,0,(IF((AND((ROW(T21)=MATCH(TRUE,($T$1:$T$43)&gt;0,0)))),IF(W21&gt;=6,6,W21),IF(W21&gt;=2,W21-2,0))))</f>
        <v>0</v>
      </c>
      <c r="Z22" s="111" t="str">
        <f t="shared" si="6"/>
        <v/>
      </c>
      <c r="AA22" s="214">
        <f>IF(E21="ND",IF(ISERROR(MATCH(D22,Datenblatt!$L$2:$L$18,0)),3,2),IF(E21="ND12,5",IF(ISERROR(MATCH(D22,Datenblatt!$L$2:$L$18,0)),2.5,2),0))</f>
        <v>0</v>
      </c>
      <c r="AB22" s="214">
        <f>IF((IF(E22="ND",14-IF(D22="",0,VLOOKUP(D22,Datenblatt!$L$2:$M$30,2,FALSE)),IF(E22="ND12,5",2,0)))&lt;0,0,(IF(E22="ND",14-IF(D22="",0,VLOOKUP(D22,Datenblatt!$L$2:$M$30,2,FALSE)),IF(E22="ND12,5",2,0))))</f>
        <v>0</v>
      </c>
      <c r="AC22" s="214">
        <f t="shared" si="7"/>
        <v>0</v>
      </c>
      <c r="AD22" s="214">
        <f t="shared" si="8"/>
        <v>0</v>
      </c>
      <c r="AE22" s="214">
        <f t="shared" si="9"/>
        <v>0</v>
      </c>
      <c r="AF22" s="112">
        <f t="shared" si="10"/>
        <v>0</v>
      </c>
      <c r="AG22" s="112">
        <f t="shared" si="11"/>
        <v>0</v>
      </c>
      <c r="AH22" s="112">
        <f>IF(E22="",0,VLOOKUP(E22,Datenblatt!$E$2:$G$28,3,FALSE))</f>
        <v>0</v>
      </c>
    </row>
    <row r="23" spans="1:34" ht="13" customHeight="1">
      <c r="A23" s="89" t="str">
        <f>IF(ISERROR(VLOOKUP(C23,Datenblatt!$B$84:$B$97,1,FALSE)),"","Ft")</f>
        <v/>
      </c>
      <c r="B23" s="84">
        <f t="shared" si="0"/>
        <v>45453</v>
      </c>
      <c r="C23" s="86">
        <f t="shared" si="4"/>
        <v>45453</v>
      </c>
      <c r="D23" s="67"/>
      <c r="E23" s="67"/>
      <c r="F23" s="68"/>
      <c r="G23" s="69"/>
      <c r="H23" s="68"/>
      <c r="I23" s="68"/>
      <c r="J23" s="99"/>
      <c r="K23" s="21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20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10" t="str">
        <f>IF(D23="","",IF(E22="ND",VLOOKUP(D23,Datenblatt!$A$2:$C$31,3,FALSE)-1,IF(E22="ND12,5",VLOOKUP(D23,Datenblatt!$A$2:$C$31,3,FALSE)-0.5,VLOOKUP(D23,Datenblatt!$A$2:$C$31,3,FALSE))))</f>
        <v/>
      </c>
      <c r="N23" s="211" t="str">
        <f t="shared" si="2"/>
        <v/>
      </c>
      <c r="O23" s="211" t="str">
        <f t="shared" si="3"/>
        <v/>
      </c>
      <c r="P23" s="186">
        <f>IF(D23="",IF($P$47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$47="Freizeit",(-M23-J23+IF(ISNUMBER(N23),(N23*1.5),0)+IF(ISNUMBER(O23),(O23*2),0)+IF(OR(E23="ND",E23="ND12,5"),2,0)),(-M23-J23)),IF($P$47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103" t="str">
        <f>IF(D23="","",VLOOKUP(D23,Datenblatt!$A$2:$D$31,4,FALSE))</f>
        <v/>
      </c>
      <c r="R23" s="104" t="str">
        <f>IF(E23="","",VLOOKUP(E23,Datenblatt!$E$2:$G$28,2,FALSE))</f>
        <v/>
      </c>
      <c r="S23" s="105"/>
      <c r="T23" s="111">
        <f t="shared" si="5"/>
        <v>0</v>
      </c>
      <c r="U23" s="114">
        <f t="array" ref="U23">IF(T22=0,0,IF(AND((ROW(T22)=MATCH(TRUE,($T$1:$T$43)&gt;0,0)),(D22="ND")),IF(T22&lt;3,T22,3),IF(AND(ROW(T22)=MATCH(TRUE,($T$1:$T$43)&gt;0,0),D22="ND12,5"),IF(T22&lt;2.5,T22,2.5),IF(D22="ND12,5",2.5,(T22-V22-W22)))))</f>
        <v>0</v>
      </c>
      <c r="V23" s="112">
        <f t="array" ref="V23">IF(T23=0,0,IF(AND((ROW(T23)=MATCH(TRUE,($T$1:$T$43)&gt;0,0)),(D23="ND")),IF(AND(T23&gt;11,T23&lt;=25),T23-11,0),IF(AND(ROW(T23)=MATCH(TRUE,($T$1:$T$43)&gt;0,0),D23="ND12,5"),IF(AND(T23&gt;10.5,T23&lt;=12.5),T23-10.5,0),IF(D23="ND12,5",2,IF(T23&lt;14,T23,14)))))</f>
        <v>0</v>
      </c>
      <c r="W23" s="112">
        <f t="array" ref="W23">IF(T23=0,0,IF(AND((ROW(T23)=MATCH(TRUE,($T$1:$T$43)&gt;0,0)),(D23="ND")),IF(AND(T23&gt;3,T23&lt;11),T23-3,IF(T23&gt;=11,8,0)),IF(AND((ROW(T23)=MATCH(TRUE,($T$1:$T$43)&gt;0,0)),(D23="ND12,5")),IF(AND(T23&gt;2.5,T23&lt;10.5),T23-2.5,IF(T23&gt;=10.5,8,0)),IF(D23="ND12,5",8,IF(AND(T23&gt;14,T23&lt;22),(T23-V23),IF(T23&gt;=22,8,0))))))</f>
        <v>0</v>
      </c>
      <c r="X23" s="254">
        <f t="array" ref="X23">IF(T23=0,0,IF((AND((ROW(T23)=MATCH(TRUE,($T$1:$T$43)&gt;0,0)))),IF(W23&gt;=6,W23-6,0),IF(W23&gt;=2,2,W23)))</f>
        <v>0</v>
      </c>
      <c r="Y23" s="254">
        <f t="array" ref="Y23">IF(T22=0,0,(IF((AND((ROW(T22)=MATCH(TRUE,($T$1:$T$43)&gt;0,0)))),IF(W22&gt;=6,6,W22),IF(W22&gt;=2,W22-2,0))))</f>
        <v>0</v>
      </c>
      <c r="Z23" s="111" t="str">
        <f t="shared" si="6"/>
        <v/>
      </c>
      <c r="AA23" s="214">
        <f>IF(E22="ND",IF(ISERROR(MATCH(D23,Datenblatt!$L$2:$L$18,0)),3,2),IF(E22="ND12,5",IF(ISERROR(MATCH(D23,Datenblatt!$L$2:$L$18,0)),2.5,2),0))</f>
        <v>0</v>
      </c>
      <c r="AB23" s="214">
        <f>IF((IF(E23="ND",14-IF(D23="",0,VLOOKUP(D23,Datenblatt!$L$2:$M$30,2,FALSE)),IF(E23="ND12,5",2,0)))&lt;0,0,(IF(E23="ND",14-IF(D23="",0,VLOOKUP(D23,Datenblatt!$L$2:$M$30,2,FALSE)),IF(E23="ND12,5",2,0))))</f>
        <v>0</v>
      </c>
      <c r="AC23" s="214">
        <f t="shared" si="7"/>
        <v>0</v>
      </c>
      <c r="AD23" s="214">
        <f t="shared" si="8"/>
        <v>0</v>
      </c>
      <c r="AE23" s="214">
        <f t="shared" si="9"/>
        <v>0</v>
      </c>
      <c r="AF23" s="112">
        <f t="shared" si="10"/>
        <v>0</v>
      </c>
      <c r="AG23" s="112">
        <f t="shared" si="11"/>
        <v>0</v>
      </c>
      <c r="AH23" s="112">
        <f>IF(E23="",0,VLOOKUP(E23,Datenblatt!$E$2:$G$28,3,FALSE))</f>
        <v>0</v>
      </c>
    </row>
    <row r="24" spans="1:34" ht="13" customHeight="1">
      <c r="A24" s="89" t="str">
        <f>IF(ISERROR(VLOOKUP(C24,Datenblatt!$B$84:$B$97,1,FALSE)),"","Ft")</f>
        <v/>
      </c>
      <c r="B24" s="84">
        <f t="shared" si="0"/>
        <v>45454</v>
      </c>
      <c r="C24" s="86">
        <f t="shared" si="4"/>
        <v>45454</v>
      </c>
      <c r="D24" s="67"/>
      <c r="E24" s="67"/>
      <c r="F24" s="68"/>
      <c r="G24" s="69"/>
      <c r="H24" s="68"/>
      <c r="I24" s="68"/>
      <c r="J24" s="99"/>
      <c r="K24" s="21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20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10" t="str">
        <f>IF(D24="","",IF(E23="ND",VLOOKUP(D24,Datenblatt!$A$2:$C$31,3,FALSE)-1,IF(E23="ND12,5",VLOOKUP(D24,Datenblatt!$A$2:$C$31,3,FALSE)-0.5,VLOOKUP(D24,Datenblatt!$A$2:$C$31,3,FALSE))))</f>
        <v/>
      </c>
      <c r="N24" s="211" t="str">
        <f t="shared" si="2"/>
        <v/>
      </c>
      <c r="O24" s="211" t="str">
        <f t="shared" si="3"/>
        <v/>
      </c>
      <c r="P24" s="186">
        <f>IF(D24="",IF($P$47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$47="Freizeit",(-M24-J24+IF(ISNUMBER(N24),(N24*1.5),0)+IF(ISNUMBER(O24),(O24*2),0)+IF(OR(E24="ND",E24="ND12,5"),2,0)),(-M24-J24)),IF($P$47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103" t="str">
        <f>IF(D24="","",VLOOKUP(D24,Datenblatt!$A$2:$D$31,4,FALSE))</f>
        <v/>
      </c>
      <c r="R24" s="104" t="str">
        <f>IF(E24="","",VLOOKUP(E24,Datenblatt!$E$2:$G$28,2,FALSE))</f>
        <v/>
      </c>
      <c r="S24" s="105"/>
      <c r="T24" s="111">
        <f t="shared" si="5"/>
        <v>0</v>
      </c>
      <c r="U24" s="114">
        <f t="array" ref="U24">IF(T23=0,0,IF(AND((ROW(T23)=MATCH(TRUE,($T$1:$T$43)&gt;0,0)),(D23="ND")),IF(T23&lt;3,T23,3),IF(AND(ROW(T23)=MATCH(TRUE,($T$1:$T$43)&gt;0,0),D23="ND12,5"),IF(T23&lt;2.5,T23,2.5),IF(D23="ND12,5",2.5,(T23-V23-W23)))))</f>
        <v>0</v>
      </c>
      <c r="V24" s="112">
        <f t="array" ref="V24">IF(T24=0,0,IF(AND((ROW(T24)=MATCH(TRUE,($T$1:$T$43)&gt;0,0)),(D24="ND")),IF(AND(T24&gt;11,T24&lt;=25),T24-11,0),IF(AND(ROW(T24)=MATCH(TRUE,($T$1:$T$43)&gt;0,0),D24="ND12,5"),IF(AND(T24&gt;10.5,T24&lt;=12.5),T24-10.5,0),IF(D24="ND12,5",2,IF(T24&lt;14,T24,14)))))</f>
        <v>0</v>
      </c>
      <c r="W24" s="112">
        <f t="array" ref="W24">IF(T24=0,0,IF(AND((ROW(T24)=MATCH(TRUE,($T$1:$T$43)&gt;0,0)),(D24="ND")),IF(AND(T24&gt;3,T24&lt;11),T24-3,IF(T24&gt;=11,8,0)),IF(AND((ROW(T24)=MATCH(TRUE,($T$1:$T$43)&gt;0,0)),(D24="ND12,5")),IF(AND(T24&gt;2.5,T24&lt;10.5),T24-2.5,IF(T24&gt;=10.5,8,0)),IF(D24="ND12,5",8,IF(AND(T24&gt;14,T24&lt;22),(T24-V24),IF(T24&gt;=22,8,0))))))</f>
        <v>0</v>
      </c>
      <c r="X24" s="254">
        <f t="array" ref="X24">IF(T24=0,0,IF((AND((ROW(T24)=MATCH(TRUE,($T$1:$T$43)&gt;0,0)))),IF(W24&gt;=6,W24-6,0),IF(W24&gt;=2,2,W24)))</f>
        <v>0</v>
      </c>
      <c r="Y24" s="254">
        <f t="array" ref="Y24">IF(T23=0,0,(IF((AND((ROW(T23)=MATCH(TRUE,($T$1:$T$43)&gt;0,0)))),IF(W23&gt;=6,6,W23),IF(W23&gt;=2,W23-2,0))))</f>
        <v>0</v>
      </c>
      <c r="Z24" s="111" t="str">
        <f t="shared" si="6"/>
        <v/>
      </c>
      <c r="AA24" s="214">
        <f>IF(E23="ND",IF(ISERROR(MATCH(D24,Datenblatt!$L$2:$L$18,0)),3,2),IF(E23="ND12,5",IF(ISERROR(MATCH(D24,Datenblatt!$L$2:$L$18,0)),2.5,2),0))</f>
        <v>0</v>
      </c>
      <c r="AB24" s="214">
        <f>IF((IF(E24="ND",14-IF(D24="",0,VLOOKUP(D24,Datenblatt!$L$2:$M$30,2,FALSE)),IF(E24="ND12,5",2,0)))&lt;0,0,(IF(E24="ND",14-IF(D24="",0,VLOOKUP(D24,Datenblatt!$L$2:$M$30,2,FALSE)),IF(E24="ND12,5",2,0))))</f>
        <v>0</v>
      </c>
      <c r="AC24" s="214">
        <f t="shared" si="7"/>
        <v>0</v>
      </c>
      <c r="AD24" s="214">
        <f t="shared" si="8"/>
        <v>0</v>
      </c>
      <c r="AE24" s="214">
        <f t="shared" si="9"/>
        <v>0</v>
      </c>
      <c r="AF24" s="112">
        <f t="shared" si="10"/>
        <v>0</v>
      </c>
      <c r="AG24" s="112">
        <f t="shared" si="11"/>
        <v>0</v>
      </c>
      <c r="AH24" s="112">
        <f>IF(E24="",0,VLOOKUP(E24,Datenblatt!$E$2:$G$28,3,FALSE))</f>
        <v>0</v>
      </c>
    </row>
    <row r="25" spans="1:34" ht="13" customHeight="1">
      <c r="A25" s="89" t="str">
        <f>IF(ISERROR(VLOOKUP(C25,Datenblatt!$B$84:$B$97,1,FALSE)),"","Ft")</f>
        <v/>
      </c>
      <c r="B25" s="84">
        <f t="shared" si="0"/>
        <v>45455</v>
      </c>
      <c r="C25" s="86">
        <f t="shared" si="4"/>
        <v>45455</v>
      </c>
      <c r="D25" s="67"/>
      <c r="E25" s="67"/>
      <c r="F25" s="68"/>
      <c r="G25" s="69"/>
      <c r="H25" s="68"/>
      <c r="I25" s="68"/>
      <c r="J25" s="99"/>
      <c r="K25" s="21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20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10" t="str">
        <f>IF(D25="","",IF(E24="ND",VLOOKUP(D25,Datenblatt!$A$2:$C$31,3,FALSE)-1,IF(E24="ND12,5",VLOOKUP(D25,Datenblatt!$A$2:$C$31,3,FALSE)-0.5,VLOOKUP(D25,Datenblatt!$A$2:$C$31,3,FALSE))))</f>
        <v/>
      </c>
      <c r="N25" s="211" t="str">
        <f t="shared" si="2"/>
        <v/>
      </c>
      <c r="O25" s="211" t="str">
        <f t="shared" si="3"/>
        <v/>
      </c>
      <c r="P25" s="186">
        <f>IF(D25="",IF($P$47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$47="Freizeit",(-M25-J25+IF(ISNUMBER(N25),(N25*1.5),0)+IF(ISNUMBER(O25),(O25*2),0)+IF(OR(E25="ND",E25="ND12,5"),2,0)),(-M25-J25)),IF($P$47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103" t="str">
        <f>IF(D25="","",VLOOKUP(D25,Datenblatt!$A$2:$D$31,4,FALSE))</f>
        <v/>
      </c>
      <c r="R25" s="104" t="str">
        <f>IF(E25="","",VLOOKUP(E25,Datenblatt!$E$2:$G$28,2,FALSE))</f>
        <v/>
      </c>
      <c r="S25" s="105"/>
      <c r="T25" s="111">
        <f t="shared" si="5"/>
        <v>0</v>
      </c>
      <c r="U25" s="114">
        <f t="array" ref="U25">IF(T24=0,0,IF(AND((ROW(T24)=MATCH(TRUE,($T$1:$T$43)&gt;0,0)),(D24="ND")),IF(T24&lt;3,T24,3),IF(AND(ROW(T24)=MATCH(TRUE,($T$1:$T$43)&gt;0,0),D24="ND12,5"),IF(T24&lt;2.5,T24,2.5),IF(D24="ND12,5",2.5,(T24-V24-W24)))))</f>
        <v>0</v>
      </c>
      <c r="V25" s="112">
        <f t="array" ref="V25">IF(T25=0,0,IF(AND((ROW(T25)=MATCH(TRUE,($T$1:$T$43)&gt;0,0)),(D25="ND")),IF(AND(T25&gt;11,T25&lt;=25),T25-11,0),IF(AND(ROW(T25)=MATCH(TRUE,($T$1:$T$43)&gt;0,0),D25="ND12,5"),IF(AND(T25&gt;10.5,T25&lt;=12.5),T25-10.5,0),IF(D25="ND12,5",2,IF(T25&lt;14,T25,14)))))</f>
        <v>0</v>
      </c>
      <c r="W25" s="112">
        <f t="array" ref="W25">IF(T25=0,0,IF(AND((ROW(T25)=MATCH(TRUE,($T$1:$T$43)&gt;0,0)),(D25="ND")),IF(AND(T25&gt;3,T25&lt;11),T25-3,IF(T25&gt;=11,8,0)),IF(AND((ROW(T25)=MATCH(TRUE,($T$1:$T$43)&gt;0,0)),(D25="ND12,5")),IF(AND(T25&gt;2.5,T25&lt;10.5),T25-2.5,IF(T25&gt;=10.5,8,0)),IF(D25="ND12,5",8,IF(AND(T25&gt;14,T25&lt;22),(T25-V25),IF(T25&gt;=22,8,0))))))</f>
        <v>0</v>
      </c>
      <c r="X25" s="254">
        <f t="array" ref="X25">IF(T25=0,0,IF((AND((ROW(T25)=MATCH(TRUE,($T$1:$T$43)&gt;0,0)))),IF(W25&gt;=6,W25-6,0),IF(W25&gt;=2,2,W25)))</f>
        <v>0</v>
      </c>
      <c r="Y25" s="254">
        <f t="array" ref="Y25">IF(T24=0,0,(IF((AND((ROW(T24)=MATCH(TRUE,($T$1:$T$43)&gt;0,0)))),IF(W24&gt;=6,6,W24),IF(W24&gt;=2,W24-2,0))))</f>
        <v>0</v>
      </c>
      <c r="Z25" s="111" t="str">
        <f t="shared" si="6"/>
        <v/>
      </c>
      <c r="AA25" s="214">
        <f>IF(E24="ND",IF(ISERROR(MATCH(D25,Datenblatt!$L$2:$L$18,0)),3,2),IF(E24="ND12,5",IF(ISERROR(MATCH(D25,Datenblatt!$L$2:$L$18,0)),2.5,2),0))</f>
        <v>0</v>
      </c>
      <c r="AB25" s="214">
        <f>IF((IF(E25="ND",14-IF(D25="",0,VLOOKUP(D25,Datenblatt!$L$2:$M$30,2,FALSE)),IF(E25="ND12,5",2,0)))&lt;0,0,(IF(E25="ND",14-IF(D25="",0,VLOOKUP(D25,Datenblatt!$L$2:$M$30,2,FALSE)),IF(E25="ND12,5",2,0))))</f>
        <v>0</v>
      </c>
      <c r="AC25" s="214">
        <f t="shared" si="7"/>
        <v>0</v>
      </c>
      <c r="AD25" s="214">
        <f t="shared" si="8"/>
        <v>0</v>
      </c>
      <c r="AE25" s="214">
        <f t="shared" si="9"/>
        <v>0</v>
      </c>
      <c r="AF25" s="112">
        <f t="shared" si="10"/>
        <v>0</v>
      </c>
      <c r="AG25" s="112">
        <f t="shared" si="11"/>
        <v>0</v>
      </c>
      <c r="AH25" s="112">
        <f>IF(E25="",0,VLOOKUP(E25,Datenblatt!$E$2:$G$28,3,FALSE))</f>
        <v>0</v>
      </c>
    </row>
    <row r="26" spans="1:34" ht="13" customHeight="1">
      <c r="A26" s="89" t="str">
        <f>IF(ISERROR(VLOOKUP(C26,Datenblatt!$B$84:$B$97,1,FALSE)),"","Ft")</f>
        <v/>
      </c>
      <c r="B26" s="84">
        <f t="shared" si="0"/>
        <v>45456</v>
      </c>
      <c r="C26" s="86">
        <f t="shared" si="4"/>
        <v>45456</v>
      </c>
      <c r="D26" s="67"/>
      <c r="E26" s="67"/>
      <c r="F26" s="68"/>
      <c r="G26" s="69"/>
      <c r="H26" s="68"/>
      <c r="I26" s="68"/>
      <c r="J26" s="99"/>
      <c r="K26" s="21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20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10" t="str">
        <f>IF(D26="","",IF(E25="ND",VLOOKUP(D26,Datenblatt!$A$2:$C$31,3,FALSE)-1,IF(E25="ND12,5",VLOOKUP(D26,Datenblatt!$A$2:$C$31,3,FALSE)-0.5,VLOOKUP(D26,Datenblatt!$A$2:$C$31,3,FALSE))))</f>
        <v/>
      </c>
      <c r="N26" s="211" t="str">
        <f t="shared" si="2"/>
        <v/>
      </c>
      <c r="O26" s="211" t="str">
        <f t="shared" si="3"/>
        <v/>
      </c>
      <c r="P26" s="186">
        <f>IF(D26="",IF($P$47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$47="Freizeit",(-M26-J26+IF(ISNUMBER(N26),(N26*1.5),0)+IF(ISNUMBER(O26),(O26*2),0)+IF(OR(E26="ND",E26="ND12,5"),2,0)),(-M26-J26)),IF($P$47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103" t="str">
        <f>IF(D26="","",VLOOKUP(D26,Datenblatt!$A$2:$D$31,4,FALSE))</f>
        <v/>
      </c>
      <c r="R26" s="104" t="str">
        <f>IF(E26="","",VLOOKUP(E26,Datenblatt!$E$2:$G$28,2,FALSE))</f>
        <v/>
      </c>
      <c r="S26" s="105"/>
      <c r="T26" s="111">
        <f t="shared" si="5"/>
        <v>0</v>
      </c>
      <c r="U26" s="114">
        <f t="array" ref="U26">IF(T25=0,0,IF(AND((ROW(T25)=MATCH(TRUE,($T$1:$T$43)&gt;0,0)),(D25="ND")),IF(T25&lt;3,T25,3),IF(AND(ROW(T25)=MATCH(TRUE,($T$1:$T$43)&gt;0,0),D25="ND12,5"),IF(T25&lt;2.5,T25,2.5),IF(D25="ND12,5",2.5,(T25-V25-W25)))))</f>
        <v>0</v>
      </c>
      <c r="V26" s="112">
        <f t="array" ref="V26">IF(T26=0,0,IF(AND((ROW(T26)=MATCH(TRUE,($T$1:$T$43)&gt;0,0)),(D26="ND")),IF(AND(T26&gt;11,T26&lt;=25),T26-11,0),IF(AND(ROW(T26)=MATCH(TRUE,($T$1:$T$43)&gt;0,0),D26="ND12,5"),IF(AND(T26&gt;10.5,T26&lt;=12.5),T26-10.5,0),IF(D26="ND12,5",2,IF(T26&lt;14,T26,14)))))</f>
        <v>0</v>
      </c>
      <c r="W26" s="112">
        <f t="array" ref="W26">IF(T26=0,0,IF(AND((ROW(T26)=MATCH(TRUE,($T$1:$T$43)&gt;0,0)),(D26="ND")),IF(AND(T26&gt;3,T26&lt;11),T26-3,IF(T26&gt;=11,8,0)),IF(AND((ROW(T26)=MATCH(TRUE,($T$1:$T$43)&gt;0,0)),(D26="ND12,5")),IF(AND(T26&gt;2.5,T26&lt;10.5),T26-2.5,IF(T26&gt;=10.5,8,0)),IF(D26="ND12,5",8,IF(AND(T26&gt;14,T26&lt;22),(T26-V26),IF(T26&gt;=22,8,0))))))</f>
        <v>0</v>
      </c>
      <c r="X26" s="254">
        <f t="array" ref="X26">IF(T26=0,0,IF((AND((ROW(T26)=MATCH(TRUE,($T$1:$T$43)&gt;0,0)))),IF(W26&gt;=6,W26-6,0),IF(W26&gt;=2,2,W26)))</f>
        <v>0</v>
      </c>
      <c r="Y26" s="254">
        <f t="array" ref="Y26">IF(T25=0,0,(IF((AND((ROW(T25)=MATCH(TRUE,($T$1:$T$43)&gt;0,0)))),IF(W25&gt;=6,6,W25),IF(W25&gt;=2,W25-2,0))))</f>
        <v>0</v>
      </c>
      <c r="Z26" s="111" t="str">
        <f t="shared" si="6"/>
        <v/>
      </c>
      <c r="AA26" s="214">
        <f>IF(E25="ND",IF(ISERROR(MATCH(D26,Datenblatt!$L$2:$L$18,0)),3,2),IF(E25="ND12,5",IF(ISERROR(MATCH(D26,Datenblatt!$L$2:$L$18,0)),2.5,2),0))</f>
        <v>0</v>
      </c>
      <c r="AB26" s="214">
        <f>IF((IF(E26="ND",14-IF(D26="",0,VLOOKUP(D26,Datenblatt!$L$2:$M$30,2,FALSE)),IF(E26="ND12,5",2,0)))&lt;0,0,(IF(E26="ND",14-IF(D26="",0,VLOOKUP(D26,Datenblatt!$L$2:$M$30,2,FALSE)),IF(E26="ND12,5",2,0))))</f>
        <v>0</v>
      </c>
      <c r="AC26" s="214">
        <f t="shared" si="7"/>
        <v>0</v>
      </c>
      <c r="AD26" s="214">
        <f t="shared" si="8"/>
        <v>0</v>
      </c>
      <c r="AE26" s="214">
        <f t="shared" si="9"/>
        <v>0</v>
      </c>
      <c r="AF26" s="112">
        <f t="shared" si="10"/>
        <v>0</v>
      </c>
      <c r="AG26" s="112">
        <f t="shared" si="11"/>
        <v>0</v>
      </c>
      <c r="AH26" s="112">
        <f>IF(E26="",0,VLOOKUP(E26,Datenblatt!$E$2:$G$28,3,FALSE))</f>
        <v>0</v>
      </c>
    </row>
    <row r="27" spans="1:34" ht="13" customHeight="1">
      <c r="A27" s="89" t="str">
        <f>IF(ISERROR(VLOOKUP(C27,Datenblatt!$B$84:$B$97,1,FALSE)),"","Ft")</f>
        <v/>
      </c>
      <c r="B27" s="84">
        <f t="shared" si="0"/>
        <v>45457</v>
      </c>
      <c r="C27" s="86">
        <f t="shared" si="4"/>
        <v>45457</v>
      </c>
      <c r="D27" s="67"/>
      <c r="E27" s="67"/>
      <c r="F27" s="68"/>
      <c r="G27" s="69"/>
      <c r="H27" s="68"/>
      <c r="I27" s="68"/>
      <c r="J27" s="99"/>
      <c r="K27" s="21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20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10" t="str">
        <f>IF(D27="","",IF(E26="ND",VLOOKUP(D27,Datenblatt!$A$2:$C$31,3,FALSE)-1,IF(E26="ND12,5",VLOOKUP(D27,Datenblatt!$A$2:$C$31,3,FALSE)-0.5,VLOOKUP(D27,Datenblatt!$A$2:$C$31,3,FALSE))))</f>
        <v/>
      </c>
      <c r="N27" s="211" t="str">
        <f t="shared" si="2"/>
        <v/>
      </c>
      <c r="O27" s="211" t="str">
        <f t="shared" si="3"/>
        <v/>
      </c>
      <c r="P27" s="186">
        <f>IF(D27="",IF($P$47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$47="Freizeit",(-M27-J27+IF(ISNUMBER(N27),(N27*1.5),0)+IF(ISNUMBER(O27),(O27*2),0)+IF(OR(E27="ND",E27="ND12,5"),2,0)),(-M27-J27)),IF($P$47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103" t="str">
        <f>IF(D27="","",VLOOKUP(D27,Datenblatt!$A$2:$D$31,4,FALSE))</f>
        <v/>
      </c>
      <c r="R27" s="104" t="str">
        <f>IF(E27="","",VLOOKUP(E27,Datenblatt!$E$2:$G$28,2,FALSE))</f>
        <v/>
      </c>
      <c r="S27" s="105"/>
      <c r="T27" s="111">
        <f t="shared" si="5"/>
        <v>0</v>
      </c>
      <c r="U27" s="114">
        <f t="array" ref="U27">IF(T26=0,0,IF(AND((ROW(T26)=MATCH(TRUE,($T$1:$T$43)&gt;0,0)),(D26="ND")),IF(T26&lt;3,T26,3),IF(AND(ROW(T26)=MATCH(TRUE,($T$1:$T$43)&gt;0,0),D26="ND12,5"),IF(T26&lt;2.5,T26,2.5),IF(D26="ND12,5",2.5,(T26-V26-W26)))))</f>
        <v>0</v>
      </c>
      <c r="V27" s="112">
        <f t="array" ref="V27">IF(T27=0,0,IF(AND((ROW(T27)=MATCH(TRUE,($T$1:$T$43)&gt;0,0)),(D27="ND")),IF(AND(T27&gt;11,T27&lt;=25),T27-11,0),IF(AND(ROW(T27)=MATCH(TRUE,($T$1:$T$43)&gt;0,0),D27="ND12,5"),IF(AND(T27&gt;10.5,T27&lt;=12.5),T27-10.5,0),IF(D27="ND12,5",2,IF(T27&lt;14,T27,14)))))</f>
        <v>0</v>
      </c>
      <c r="W27" s="112">
        <f t="array" ref="W27">IF(T27=0,0,IF(AND((ROW(T27)=MATCH(TRUE,($T$1:$T$43)&gt;0,0)),(D27="ND")),IF(AND(T27&gt;3,T27&lt;11),T27-3,IF(T27&gt;=11,8,0)),IF(AND((ROW(T27)=MATCH(TRUE,($T$1:$T$43)&gt;0,0)),(D27="ND12,5")),IF(AND(T27&gt;2.5,T27&lt;10.5),T27-2.5,IF(T27&gt;=10.5,8,0)),IF(D27="ND12,5",8,IF(AND(T27&gt;14,T27&lt;22),(T27-V27),IF(T27&gt;=22,8,0))))))</f>
        <v>0</v>
      </c>
      <c r="X27" s="254">
        <f t="array" ref="X27">IF(T27=0,0,IF((AND((ROW(T27)=MATCH(TRUE,($T$1:$T$43)&gt;0,0)))),IF(W27&gt;=6,W27-6,0),IF(W27&gt;=2,2,W27)))</f>
        <v>0</v>
      </c>
      <c r="Y27" s="254">
        <f t="array" ref="Y27">IF(T26=0,0,(IF((AND((ROW(T26)=MATCH(TRUE,($T$1:$T$43)&gt;0,0)))),IF(W26&gt;=6,6,W26),IF(W26&gt;=2,W26-2,0))))</f>
        <v>0</v>
      </c>
      <c r="Z27" s="111" t="str">
        <f t="shared" si="6"/>
        <v/>
      </c>
      <c r="AA27" s="214">
        <f>IF(E26="ND",IF(ISERROR(MATCH(D27,Datenblatt!$L$2:$L$18,0)),3,2),IF(E26="ND12,5",IF(ISERROR(MATCH(D27,Datenblatt!$L$2:$L$18,0)),2.5,2),0))</f>
        <v>0</v>
      </c>
      <c r="AB27" s="214">
        <f>IF((IF(E27="ND",14-IF(D27="",0,VLOOKUP(D27,Datenblatt!$L$2:$M$30,2,FALSE)),IF(E27="ND12,5",2,0)))&lt;0,0,(IF(E27="ND",14-IF(D27="",0,VLOOKUP(D27,Datenblatt!$L$2:$M$30,2,FALSE)),IF(E27="ND12,5",2,0))))</f>
        <v>0</v>
      </c>
      <c r="AC27" s="214">
        <f t="shared" si="7"/>
        <v>0</v>
      </c>
      <c r="AD27" s="214">
        <f t="shared" si="8"/>
        <v>0</v>
      </c>
      <c r="AE27" s="214">
        <f t="shared" si="9"/>
        <v>0</v>
      </c>
      <c r="AF27" s="112">
        <f t="shared" si="10"/>
        <v>0</v>
      </c>
      <c r="AG27" s="112">
        <f t="shared" si="11"/>
        <v>0</v>
      </c>
      <c r="AH27" s="112">
        <f>IF(E27="",0,VLOOKUP(E27,Datenblatt!$E$2:$G$28,3,FALSE))</f>
        <v>0</v>
      </c>
    </row>
    <row r="28" spans="1:34" ht="13" customHeight="1">
      <c r="A28" s="89" t="str">
        <f>IF(ISERROR(VLOOKUP(C28,Datenblatt!$B$84:$B$97,1,FALSE)),"","Ft")</f>
        <v/>
      </c>
      <c r="B28" s="84">
        <f t="shared" si="0"/>
        <v>45458</v>
      </c>
      <c r="C28" s="86">
        <f t="shared" si="4"/>
        <v>45458</v>
      </c>
      <c r="D28" s="67"/>
      <c r="E28" s="67"/>
      <c r="F28" s="68"/>
      <c r="G28" s="69"/>
      <c r="H28" s="68"/>
      <c r="I28" s="68"/>
      <c r="J28" s="99"/>
      <c r="K28" s="21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20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10" t="str">
        <f>IF(D28="","",IF(E27="ND",VLOOKUP(D28,Datenblatt!$A$2:$C$31,3,FALSE)-1,IF(E27="ND12,5",VLOOKUP(D28,Datenblatt!$A$2:$C$31,3,FALSE)-0.5,VLOOKUP(D28,Datenblatt!$A$2:$C$31,3,FALSE))))</f>
        <v/>
      </c>
      <c r="N28" s="211" t="str">
        <f t="shared" si="2"/>
        <v/>
      </c>
      <c r="O28" s="211" t="str">
        <f t="shared" si="3"/>
        <v/>
      </c>
      <c r="P28" s="186">
        <f>IF(D28="",IF($P$47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$47="Freizeit",(-M28-J28+IF(ISNUMBER(N28),(N28*1.5),0)+IF(ISNUMBER(O28),(O28*2),0)+IF(OR(E28="ND",E28="ND12,5"),2,0)),(-M28-J28)),IF($P$47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103" t="str">
        <f>IF(D28="","",VLOOKUP(D28,Datenblatt!$A$2:$D$31,4,FALSE))</f>
        <v/>
      </c>
      <c r="R28" s="104" t="str">
        <f>IF(E28="","",VLOOKUP(E28,Datenblatt!$E$2:$G$28,2,FALSE))</f>
        <v/>
      </c>
      <c r="S28" s="105"/>
      <c r="T28" s="111">
        <f t="shared" si="5"/>
        <v>0</v>
      </c>
      <c r="U28" s="114">
        <f t="array" ref="U28">IF(T27=0,0,IF(AND((ROW(T27)=MATCH(TRUE,($T$1:$T$43)&gt;0,0)),(D27="ND")),IF(T27&lt;3,T27,3),IF(AND(ROW(T27)=MATCH(TRUE,($T$1:$T$43)&gt;0,0),D27="ND12,5"),IF(T27&lt;2.5,T27,2.5),IF(D27="ND12,5",2.5,(T27-V27-W27)))))</f>
        <v>0</v>
      </c>
      <c r="V28" s="112">
        <f t="array" ref="V28">IF(T28=0,0,IF(AND((ROW(T28)=MATCH(TRUE,($T$1:$T$43)&gt;0,0)),(D28="ND")),IF(AND(T28&gt;11,T28&lt;=25),T28-11,0),IF(AND(ROW(T28)=MATCH(TRUE,($T$1:$T$43)&gt;0,0),D28="ND12,5"),IF(AND(T28&gt;10.5,T28&lt;=12.5),T28-10.5,0),IF(D28="ND12,5",2,IF(T28&lt;14,T28,14)))))</f>
        <v>0</v>
      </c>
      <c r="W28" s="112">
        <f t="array" ref="W28">IF(T28=0,0,IF(AND((ROW(T28)=MATCH(TRUE,($T$1:$T$43)&gt;0,0)),(D28="ND")),IF(AND(T28&gt;3,T28&lt;11),T28-3,IF(T28&gt;=11,8,0)),IF(AND((ROW(T28)=MATCH(TRUE,($T$1:$T$43)&gt;0,0)),(D28="ND12,5")),IF(AND(T28&gt;2.5,T28&lt;10.5),T28-2.5,IF(T28&gt;=10.5,8,0)),IF(D28="ND12,5",8,IF(AND(T28&gt;14,T28&lt;22),(T28-V28),IF(T28&gt;=22,8,0))))))</f>
        <v>0</v>
      </c>
      <c r="X28" s="254">
        <f t="array" ref="X28">IF(T28=0,0,IF((AND((ROW(T28)=MATCH(TRUE,($T$1:$T$43)&gt;0,0)))),IF(W28&gt;=6,W28-6,0),IF(W28&gt;=2,2,W28)))</f>
        <v>0</v>
      </c>
      <c r="Y28" s="254">
        <f t="array" ref="Y28">IF(T27=0,0,(IF((AND((ROW(T27)=MATCH(TRUE,($T$1:$T$43)&gt;0,0)))),IF(W27&gt;=6,6,W27),IF(W27&gt;=2,W27-2,0))))</f>
        <v>0</v>
      </c>
      <c r="Z28" s="111" t="str">
        <f t="shared" si="6"/>
        <v/>
      </c>
      <c r="AA28" s="214">
        <f>IF(E27="ND",IF(ISERROR(MATCH(D28,Datenblatt!$L$2:$L$18,0)),3,2),IF(E27="ND12,5",IF(ISERROR(MATCH(D28,Datenblatt!$L$2:$L$18,0)),2.5,2),0))</f>
        <v>0</v>
      </c>
      <c r="AB28" s="214">
        <f>IF((IF(E28="ND",14-IF(D28="",0,VLOOKUP(D28,Datenblatt!$L$2:$M$30,2,FALSE)),IF(E28="ND12,5",2,0)))&lt;0,0,(IF(E28="ND",14-IF(D28="",0,VLOOKUP(D28,Datenblatt!$L$2:$M$30,2,FALSE)),IF(E28="ND12,5",2,0))))</f>
        <v>0</v>
      </c>
      <c r="AC28" s="214">
        <f t="shared" si="7"/>
        <v>0</v>
      </c>
      <c r="AD28" s="214">
        <f t="shared" si="8"/>
        <v>0</v>
      </c>
      <c r="AE28" s="214">
        <f t="shared" si="9"/>
        <v>0</v>
      </c>
      <c r="AF28" s="112">
        <f t="shared" si="10"/>
        <v>0</v>
      </c>
      <c r="AG28" s="112">
        <f t="shared" si="11"/>
        <v>0</v>
      </c>
      <c r="AH28" s="112">
        <f>IF(E28="",0,VLOOKUP(E28,Datenblatt!$E$2:$G$28,3,FALSE))</f>
        <v>0</v>
      </c>
    </row>
    <row r="29" spans="1:34" ht="13" customHeight="1">
      <c r="A29" s="89" t="str">
        <f>IF(ISERROR(VLOOKUP(C29,Datenblatt!$B$84:$B$97,1,FALSE)),"","Ft")</f>
        <v/>
      </c>
      <c r="B29" s="84">
        <f t="shared" si="0"/>
        <v>45459</v>
      </c>
      <c r="C29" s="86">
        <f t="shared" si="4"/>
        <v>45459</v>
      </c>
      <c r="D29" s="67"/>
      <c r="E29" s="67"/>
      <c r="F29" s="68"/>
      <c r="G29" s="69"/>
      <c r="H29" s="68"/>
      <c r="I29" s="68"/>
      <c r="J29" s="99"/>
      <c r="K29" s="21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20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10" t="str">
        <f>IF(D29="","",IF(E28="ND",VLOOKUP(D29,Datenblatt!$A$2:$C$31,3,FALSE)-1,IF(E28="ND12,5",VLOOKUP(D29,Datenblatt!$A$2:$C$31,3,FALSE)-0.5,VLOOKUP(D29,Datenblatt!$A$2:$C$31,3,FALSE))))</f>
        <v/>
      </c>
      <c r="N29" s="211" t="str">
        <f t="shared" si="2"/>
        <v/>
      </c>
      <c r="O29" s="211">
        <f t="shared" si="3"/>
        <v>0</v>
      </c>
      <c r="P29" s="186">
        <f>IF(D29="",IF($P$47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$47="Freizeit",(-M29-J29+IF(ISNUMBER(N29),(N29*1.5),0)+IF(ISNUMBER(O29),(O29*2),0)+IF(OR(E29="ND",E29="ND12,5"),2,0)),(-M29-J29)),IF($P$47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103" t="str">
        <f>IF(D29="","",VLOOKUP(D29,Datenblatt!$A$2:$D$31,4,FALSE))</f>
        <v/>
      </c>
      <c r="R29" s="104" t="str">
        <f>IF(E29="","",VLOOKUP(E29,Datenblatt!$E$2:$G$28,2,FALSE))</f>
        <v/>
      </c>
      <c r="S29" s="105"/>
      <c r="T29" s="111">
        <f t="shared" si="5"/>
        <v>0</v>
      </c>
      <c r="U29" s="114">
        <f t="array" ref="U29">IF(T28=0,0,IF(AND((ROW(T28)=MATCH(TRUE,($T$1:$T$43)&gt;0,0)),(D28="ND")),IF(T28&lt;3,T28,3),IF(AND(ROW(T28)=MATCH(TRUE,($T$1:$T$43)&gt;0,0),D28="ND12,5"),IF(T28&lt;2.5,T28,2.5),IF(D28="ND12,5",2.5,(T28-V28-W28)))))</f>
        <v>0</v>
      </c>
      <c r="V29" s="112">
        <f t="array" ref="V29">IF(T29=0,0,IF(AND((ROW(T29)=MATCH(TRUE,($T$1:$T$43)&gt;0,0)),(D29="ND")),IF(AND(T29&gt;11,T29&lt;=25),T29-11,0),IF(AND(ROW(T29)=MATCH(TRUE,($T$1:$T$43)&gt;0,0),D29="ND12,5"),IF(AND(T29&gt;10.5,T29&lt;=12.5),T29-10.5,0),IF(D29="ND12,5",2,IF(T29&lt;14,T29,14)))))</f>
        <v>0</v>
      </c>
      <c r="W29" s="112">
        <f t="array" ref="W29">IF(T29=0,0,IF(AND((ROW(T29)=MATCH(TRUE,($T$1:$T$43)&gt;0,0)),(D29="ND")),IF(AND(T29&gt;3,T29&lt;11),T29-3,IF(T29&gt;=11,8,0)),IF(AND((ROW(T29)=MATCH(TRUE,($T$1:$T$43)&gt;0,0)),(D29="ND12,5")),IF(AND(T29&gt;2.5,T29&lt;10.5),T29-2.5,IF(T29&gt;=10.5,8,0)),IF(D29="ND12,5",8,IF(AND(T29&gt;14,T29&lt;22),(T29-V29),IF(T29&gt;=22,8,0))))))</f>
        <v>0</v>
      </c>
      <c r="X29" s="254">
        <f t="array" ref="X29">IF(T29=0,0,IF((AND((ROW(T29)=MATCH(TRUE,($T$1:$T$43)&gt;0,0)))),IF(W29&gt;=6,W29-6,0),IF(W29&gt;=2,2,W29)))</f>
        <v>0</v>
      </c>
      <c r="Y29" s="254">
        <f t="array" ref="Y29">IF(T28=0,0,(IF((AND((ROW(T28)=MATCH(TRUE,($T$1:$T$43)&gt;0,0)))),IF(W28&gt;=6,6,W28),IF(W28&gt;=2,W28-2,0))))</f>
        <v>0</v>
      </c>
      <c r="Z29" s="111" t="str">
        <f t="shared" si="6"/>
        <v/>
      </c>
      <c r="AA29" s="214">
        <f>IF(E28="ND",IF(ISERROR(MATCH(D29,Datenblatt!$L$2:$L$18,0)),3,2),IF(E28="ND12,5",IF(ISERROR(MATCH(D29,Datenblatt!$L$2:$L$18,0)),2.5,2),0))</f>
        <v>0</v>
      </c>
      <c r="AB29" s="214">
        <f>IF((IF(E29="ND",14-IF(D29="",0,VLOOKUP(D29,Datenblatt!$L$2:$M$30,2,FALSE)),IF(E29="ND12,5",2,0)))&lt;0,0,(IF(E29="ND",14-IF(D29="",0,VLOOKUP(D29,Datenblatt!$L$2:$M$30,2,FALSE)),IF(E29="ND12,5",2,0))))</f>
        <v>0</v>
      </c>
      <c r="AC29" s="214">
        <f t="shared" si="7"/>
        <v>0</v>
      </c>
      <c r="AD29" s="214">
        <f t="shared" si="8"/>
        <v>0</v>
      </c>
      <c r="AE29" s="214">
        <f t="shared" si="9"/>
        <v>0</v>
      </c>
      <c r="AF29" s="112">
        <f t="shared" si="10"/>
        <v>0</v>
      </c>
      <c r="AG29" s="112">
        <f t="shared" si="11"/>
        <v>0</v>
      </c>
      <c r="AH29" s="112">
        <f>IF(E29="",0,VLOOKUP(E29,Datenblatt!$E$2:$G$28,3,FALSE))</f>
        <v>0</v>
      </c>
    </row>
    <row r="30" spans="1:34" ht="13" customHeight="1">
      <c r="A30" s="89" t="str">
        <f>IF(ISERROR(VLOOKUP(C30,Datenblatt!$B$84:$B$97,1,FALSE)),"","Ft")</f>
        <v/>
      </c>
      <c r="B30" s="84">
        <f t="shared" si="0"/>
        <v>45460</v>
      </c>
      <c r="C30" s="86">
        <f t="shared" si="4"/>
        <v>45460</v>
      </c>
      <c r="D30" s="67"/>
      <c r="E30" s="67"/>
      <c r="F30" s="68"/>
      <c r="G30" s="69"/>
      <c r="H30" s="68"/>
      <c r="I30" s="68"/>
      <c r="J30" s="99"/>
      <c r="K30" s="21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20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10" t="str">
        <f>IF(D30="","",IF(E29="ND",VLOOKUP(D30,Datenblatt!$A$2:$C$31,3,FALSE)-1,IF(E29="ND12,5",VLOOKUP(D30,Datenblatt!$A$2:$C$31,3,FALSE)-0.5,VLOOKUP(D30,Datenblatt!$A$2:$C$31,3,FALSE))))</f>
        <v/>
      </c>
      <c r="N30" s="211" t="str">
        <f t="shared" si="2"/>
        <v/>
      </c>
      <c r="O30" s="211" t="str">
        <f t="shared" si="3"/>
        <v/>
      </c>
      <c r="P30" s="186">
        <f>IF(D30="",IF($P$47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$47="Freizeit",(-M30-J30+IF(ISNUMBER(N30),(N30*1.5),0)+IF(ISNUMBER(O30),(O30*2),0)+IF(OR(E30="ND",E30="ND12,5"),2,0)),(-M30-J30)),IF($P$47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103" t="str">
        <f>IF(D30="","",VLOOKUP(D30,Datenblatt!$A$2:$D$31,4,FALSE))</f>
        <v/>
      </c>
      <c r="R30" s="104" t="str">
        <f>IF(E30="","",VLOOKUP(E30,Datenblatt!$E$2:$G$28,2,FALSE))</f>
        <v/>
      </c>
      <c r="S30" s="105"/>
      <c r="T30" s="111">
        <f t="shared" si="5"/>
        <v>0</v>
      </c>
      <c r="U30" s="114">
        <f t="array" ref="U30">IF(T29=0,0,IF(AND((ROW(T29)=MATCH(TRUE,($T$1:$T$43)&gt;0,0)),(D29="ND")),IF(T29&lt;3,T29,3),IF(AND(ROW(T29)=MATCH(TRUE,($T$1:$T$43)&gt;0,0),D29="ND12,5"),IF(T29&lt;2.5,T29,2.5),IF(D29="ND12,5",2.5,(T29-V29-W29)))))</f>
        <v>0</v>
      </c>
      <c r="V30" s="112">
        <f t="array" ref="V30">IF(T30=0,0,IF(AND((ROW(T30)=MATCH(TRUE,($T$1:$T$43)&gt;0,0)),(D30="ND")),IF(AND(T30&gt;11,T30&lt;=25),T30-11,0),IF(AND(ROW(T30)=MATCH(TRUE,($T$1:$T$43)&gt;0,0),D30="ND12,5"),IF(AND(T30&gt;10.5,T30&lt;=12.5),T30-10.5,0),IF(D30="ND12,5",2,IF(T30&lt;14,T30,14)))))</f>
        <v>0</v>
      </c>
      <c r="W30" s="112">
        <f t="array" ref="W30">IF(T30=0,0,IF(AND((ROW(T30)=MATCH(TRUE,($T$1:$T$43)&gt;0,0)),(D30="ND")),IF(AND(T30&gt;3,T30&lt;11),T30-3,IF(T30&gt;=11,8,0)),IF(AND((ROW(T30)=MATCH(TRUE,($T$1:$T$43)&gt;0,0)),(D30="ND12,5")),IF(AND(T30&gt;2.5,T30&lt;10.5),T30-2.5,IF(T30&gt;=10.5,8,0)),IF(D30="ND12,5",8,IF(AND(T30&gt;14,T30&lt;22),(T30-V30),IF(T30&gt;=22,8,0))))))</f>
        <v>0</v>
      </c>
      <c r="X30" s="254">
        <f t="array" ref="X30">IF(T30=0,0,IF((AND((ROW(T30)=MATCH(TRUE,($T$1:$T$43)&gt;0,0)))),IF(W30&gt;=6,W30-6,0),IF(W30&gt;=2,2,W30)))</f>
        <v>0</v>
      </c>
      <c r="Y30" s="254">
        <f t="array" ref="Y30">IF(T29=0,0,(IF((AND((ROW(T29)=MATCH(TRUE,($T$1:$T$43)&gt;0,0)))),IF(W29&gt;=6,6,W29),IF(W29&gt;=2,W29-2,0))))</f>
        <v>0</v>
      </c>
      <c r="Z30" s="111" t="str">
        <f t="shared" si="6"/>
        <v/>
      </c>
      <c r="AA30" s="214">
        <f>IF(E29="ND",IF(ISERROR(MATCH(D30,Datenblatt!$L$2:$L$18,0)),3,2),IF(E29="ND12,5",IF(ISERROR(MATCH(D30,Datenblatt!$L$2:$L$18,0)),2.5,2),0))</f>
        <v>0</v>
      </c>
      <c r="AB30" s="214">
        <f>IF((IF(E30="ND",14-IF(D30="",0,VLOOKUP(D30,Datenblatt!$L$2:$M$30,2,FALSE)),IF(E30="ND12,5",2,0)))&lt;0,0,(IF(E30="ND",14-IF(D30="",0,VLOOKUP(D30,Datenblatt!$L$2:$M$30,2,FALSE)),IF(E30="ND12,5",2,0))))</f>
        <v>0</v>
      </c>
      <c r="AC30" s="214">
        <f t="shared" si="7"/>
        <v>0</v>
      </c>
      <c r="AD30" s="214">
        <f t="shared" si="8"/>
        <v>0</v>
      </c>
      <c r="AE30" s="214">
        <f t="shared" si="9"/>
        <v>0</v>
      </c>
      <c r="AF30" s="112">
        <f t="shared" si="10"/>
        <v>0</v>
      </c>
      <c r="AG30" s="112">
        <f t="shared" si="11"/>
        <v>0</v>
      </c>
      <c r="AH30" s="112">
        <f>IF(E30="",0,VLOOKUP(E30,Datenblatt!$E$2:$G$28,3,FALSE))</f>
        <v>0</v>
      </c>
    </row>
    <row r="31" spans="1:34" ht="13" customHeight="1">
      <c r="A31" s="89" t="str">
        <f>IF(ISERROR(VLOOKUP(C31,Datenblatt!$B$84:$B$97,1,FALSE)),"","Ft")</f>
        <v/>
      </c>
      <c r="B31" s="84">
        <f t="shared" si="0"/>
        <v>45461</v>
      </c>
      <c r="C31" s="86">
        <f t="shared" si="4"/>
        <v>45461</v>
      </c>
      <c r="D31" s="67"/>
      <c r="E31" s="67"/>
      <c r="F31" s="68"/>
      <c r="G31" s="69"/>
      <c r="H31" s="68"/>
      <c r="I31" s="68"/>
      <c r="J31" s="99"/>
      <c r="K31" s="21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20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10" t="str">
        <f>IF(D31="","",IF(E30="ND",VLOOKUP(D31,Datenblatt!$A$2:$C$31,3,FALSE)-1,IF(E30="ND12,5",VLOOKUP(D31,Datenblatt!$A$2:$C$31,3,FALSE)-0.5,VLOOKUP(D31,Datenblatt!$A$2:$C$31,3,FALSE))))</f>
        <v/>
      </c>
      <c r="N31" s="211" t="str">
        <f t="shared" si="2"/>
        <v/>
      </c>
      <c r="O31" s="211" t="str">
        <f t="shared" si="3"/>
        <v/>
      </c>
      <c r="P31" s="186">
        <f>IF(D31="",IF($P$47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$47="Freizeit",(-M31-J31+IF(ISNUMBER(N31),(N31*1.5),0)+IF(ISNUMBER(O31),(O31*2),0)+IF(OR(E31="ND",E31="ND12,5"),2,0)),(-M31-J31)),IF($P$47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103" t="str">
        <f>IF(D31="","",VLOOKUP(D31,Datenblatt!$A$2:$D$31,4,FALSE))</f>
        <v/>
      </c>
      <c r="R31" s="104" t="str">
        <f>IF(E31="","",VLOOKUP(E31,Datenblatt!$E$2:$G$28,2,FALSE))</f>
        <v/>
      </c>
      <c r="S31" s="105"/>
      <c r="T31" s="111">
        <f t="shared" si="5"/>
        <v>0</v>
      </c>
      <c r="U31" s="114">
        <f t="array" ref="U31">IF(T30=0,0,IF(AND((ROW(T30)=MATCH(TRUE,($T$1:$T$43)&gt;0,0)),(D30="ND")),IF(T30&lt;3,T30,3),IF(AND(ROW(T30)=MATCH(TRUE,($T$1:$T$43)&gt;0,0),D30="ND12,5"),IF(T30&lt;2.5,T30,2.5),IF(D30="ND12,5",2.5,(T30-V30-W30)))))</f>
        <v>0</v>
      </c>
      <c r="V31" s="112">
        <f t="array" ref="V31">IF(T31=0,0,IF(AND((ROW(T31)=MATCH(TRUE,($T$1:$T$43)&gt;0,0)),(D31="ND")),IF(AND(T31&gt;11,T31&lt;=25),T31-11,0),IF(AND(ROW(T31)=MATCH(TRUE,($T$1:$T$43)&gt;0,0),D31="ND12,5"),IF(AND(T31&gt;10.5,T31&lt;=12.5),T31-10.5,0),IF(D31="ND12,5",2,IF(T31&lt;14,T31,14)))))</f>
        <v>0</v>
      </c>
      <c r="W31" s="112">
        <f t="array" ref="W31">IF(T31=0,0,IF(AND((ROW(T31)=MATCH(TRUE,($T$1:$T$43)&gt;0,0)),(D31="ND")),IF(AND(T31&gt;3,T31&lt;11),T31-3,IF(T31&gt;=11,8,0)),IF(AND((ROW(T31)=MATCH(TRUE,($T$1:$T$43)&gt;0,0)),(D31="ND12,5")),IF(AND(T31&gt;2.5,T31&lt;10.5),T31-2.5,IF(T31&gt;=10.5,8,0)),IF(D31="ND12,5",8,IF(AND(T31&gt;14,T31&lt;22),(T31-V31),IF(T31&gt;=22,8,0))))))</f>
        <v>0</v>
      </c>
      <c r="X31" s="254">
        <f t="array" ref="X31">IF(T31=0,0,IF((AND((ROW(T31)=MATCH(TRUE,($T$1:$T$43)&gt;0,0)))),IF(W31&gt;=6,W31-6,0),IF(W31&gt;=2,2,W31)))</f>
        <v>0</v>
      </c>
      <c r="Y31" s="254">
        <f t="array" ref="Y31">IF(T30=0,0,(IF((AND((ROW(T30)=MATCH(TRUE,($T$1:$T$43)&gt;0,0)))),IF(W30&gt;=6,6,W30),IF(W30&gt;=2,W30-2,0))))</f>
        <v>0</v>
      </c>
      <c r="Z31" s="111" t="str">
        <f t="shared" si="6"/>
        <v/>
      </c>
      <c r="AA31" s="214">
        <f>IF(E30="ND",IF(ISERROR(MATCH(D31,Datenblatt!$L$2:$L$18,0)),3,2),IF(E30="ND12,5",IF(ISERROR(MATCH(D31,Datenblatt!$L$2:$L$18,0)),2.5,2),0))</f>
        <v>0</v>
      </c>
      <c r="AB31" s="214">
        <f>IF((IF(E31="ND",14-IF(D31="",0,VLOOKUP(D31,Datenblatt!$L$2:$M$30,2,FALSE)),IF(E31="ND12,5",2,0)))&lt;0,0,(IF(E31="ND",14-IF(D31="",0,VLOOKUP(D31,Datenblatt!$L$2:$M$30,2,FALSE)),IF(E31="ND12,5",2,0))))</f>
        <v>0</v>
      </c>
      <c r="AC31" s="214">
        <f t="shared" si="7"/>
        <v>0</v>
      </c>
      <c r="AD31" s="214">
        <f t="shared" si="8"/>
        <v>0</v>
      </c>
      <c r="AE31" s="214">
        <f t="shared" si="9"/>
        <v>0</v>
      </c>
      <c r="AF31" s="112">
        <f t="shared" si="10"/>
        <v>0</v>
      </c>
      <c r="AG31" s="112">
        <f t="shared" si="11"/>
        <v>0</v>
      </c>
      <c r="AH31" s="112">
        <f>IF(E31="",0,VLOOKUP(E31,Datenblatt!$E$2:$G$28,3,FALSE))</f>
        <v>0</v>
      </c>
    </row>
    <row r="32" spans="1:34" ht="13" customHeight="1">
      <c r="A32" s="89" t="str">
        <f>IF(ISERROR(VLOOKUP(C32,Datenblatt!$B$84:$B$97,1,FALSE)),"","Ft")</f>
        <v/>
      </c>
      <c r="B32" s="84">
        <f t="shared" si="0"/>
        <v>45462</v>
      </c>
      <c r="C32" s="86">
        <f t="shared" si="4"/>
        <v>45462</v>
      </c>
      <c r="D32" s="67"/>
      <c r="E32" s="67"/>
      <c r="F32" s="68"/>
      <c r="G32" s="69"/>
      <c r="H32" s="68"/>
      <c r="I32" s="68"/>
      <c r="J32" s="99"/>
      <c r="K32" s="21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20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10" t="str">
        <f>IF(D32="","",IF(E31="ND",VLOOKUP(D32,Datenblatt!$A$2:$C$31,3,FALSE)-1,IF(E31="ND12,5",VLOOKUP(D32,Datenblatt!$A$2:$C$31,3,FALSE)-0.5,VLOOKUP(D32,Datenblatt!$A$2:$C$31,3,FALSE))))</f>
        <v/>
      </c>
      <c r="N32" s="211" t="str">
        <f t="shared" si="2"/>
        <v/>
      </c>
      <c r="O32" s="211" t="str">
        <f t="shared" si="3"/>
        <v/>
      </c>
      <c r="P32" s="186">
        <f>IF(D32="",IF($P$47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$47="Freizeit",(-M32-J32+IF(ISNUMBER(N32),(N32*1.5),0)+IF(ISNUMBER(O32),(O32*2),0)+IF(OR(E32="ND",E32="ND12,5"),2,0)),(-M32-J32)),IF($P$47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103" t="str">
        <f>IF(D32="","",VLOOKUP(D32,Datenblatt!$A$2:$D$31,4,FALSE))</f>
        <v/>
      </c>
      <c r="R32" s="104" t="str">
        <f>IF(E32="","",VLOOKUP(E32,Datenblatt!$E$2:$G$28,2,FALSE))</f>
        <v/>
      </c>
      <c r="S32" s="105"/>
      <c r="T32" s="111">
        <f t="shared" si="5"/>
        <v>0</v>
      </c>
      <c r="U32" s="114">
        <f t="array" ref="U32">IF(T31=0,0,IF(AND((ROW(T31)=MATCH(TRUE,($T$1:$T$43)&gt;0,0)),(D31="ND")),IF(T31&lt;3,T31,3),IF(AND(ROW(T31)=MATCH(TRUE,($T$1:$T$43)&gt;0,0),D31="ND12,5"),IF(T31&lt;2.5,T31,2.5),IF(D31="ND12,5",2.5,(T31-V31-W31)))))</f>
        <v>0</v>
      </c>
      <c r="V32" s="112">
        <f t="array" ref="V32">IF(T32=0,0,IF(AND((ROW(T32)=MATCH(TRUE,($T$1:$T$43)&gt;0,0)),(D32="ND")),IF(AND(T32&gt;11,T32&lt;=25),T32-11,0),IF(AND(ROW(T32)=MATCH(TRUE,($T$1:$T$43)&gt;0,0),D32="ND12,5"),IF(AND(T32&gt;10.5,T32&lt;=12.5),T32-10.5,0),IF(D32="ND12,5",2,IF(T32&lt;14,T32,14)))))</f>
        <v>0</v>
      </c>
      <c r="W32" s="112">
        <f t="array" ref="W32">IF(T32=0,0,IF(AND((ROW(T32)=MATCH(TRUE,($T$1:$T$43)&gt;0,0)),(D32="ND")),IF(AND(T32&gt;3,T32&lt;11),T32-3,IF(T32&gt;=11,8,0)),IF(AND((ROW(T32)=MATCH(TRUE,($T$1:$T$43)&gt;0,0)),(D32="ND12,5")),IF(AND(T32&gt;2.5,T32&lt;10.5),T32-2.5,IF(T32&gt;=10.5,8,0)),IF(D32="ND12,5",8,IF(AND(T32&gt;14,T32&lt;22),(T32-V32),IF(T32&gt;=22,8,0))))))</f>
        <v>0</v>
      </c>
      <c r="X32" s="254">
        <f t="array" ref="X32">IF(T32=0,0,IF((AND((ROW(T32)=MATCH(TRUE,($T$1:$T$43)&gt;0,0)))),IF(W32&gt;=6,W32-6,0),IF(W32&gt;=2,2,W32)))</f>
        <v>0</v>
      </c>
      <c r="Y32" s="254">
        <f t="array" ref="Y32">IF(T31=0,0,(IF((AND((ROW(T31)=MATCH(TRUE,($T$1:$T$43)&gt;0,0)))),IF(W31&gt;=6,6,W31),IF(W31&gt;=2,W31-2,0))))</f>
        <v>0</v>
      </c>
      <c r="Z32" s="111" t="str">
        <f t="shared" si="6"/>
        <v/>
      </c>
      <c r="AA32" s="214">
        <f>IF(E31="ND",IF(ISERROR(MATCH(D32,Datenblatt!$L$2:$L$18,0)),3,2),IF(E31="ND12,5",IF(ISERROR(MATCH(D32,Datenblatt!$L$2:$L$18,0)),2.5,2),0))</f>
        <v>0</v>
      </c>
      <c r="AB32" s="214">
        <f>IF((IF(E32="ND",14-IF(D32="",0,VLOOKUP(D32,Datenblatt!$L$2:$M$30,2,FALSE)),IF(E32="ND12,5",2,0)))&lt;0,0,(IF(E32="ND",14-IF(D32="",0,VLOOKUP(D32,Datenblatt!$L$2:$M$30,2,FALSE)),IF(E32="ND12,5",2,0))))</f>
        <v>0</v>
      </c>
      <c r="AC32" s="214">
        <f t="shared" si="7"/>
        <v>0</v>
      </c>
      <c r="AD32" s="214">
        <f t="shared" si="8"/>
        <v>0</v>
      </c>
      <c r="AE32" s="214">
        <f t="shared" si="9"/>
        <v>0</v>
      </c>
      <c r="AF32" s="112">
        <f t="shared" si="10"/>
        <v>0</v>
      </c>
      <c r="AG32" s="112">
        <f t="shared" si="11"/>
        <v>0</v>
      </c>
      <c r="AH32" s="112">
        <f>IF(E32="",0,VLOOKUP(E32,Datenblatt!$E$2:$G$28,3,FALSE))</f>
        <v>0</v>
      </c>
    </row>
    <row r="33" spans="1:34" ht="13" customHeight="1">
      <c r="A33" s="89" t="str">
        <f>IF(ISERROR(VLOOKUP(C33,Datenblatt!$B$84:$B$97,1,FALSE)),"","Ft")</f>
        <v/>
      </c>
      <c r="B33" s="84">
        <f t="shared" si="0"/>
        <v>45463</v>
      </c>
      <c r="C33" s="86">
        <f t="shared" si="4"/>
        <v>45463</v>
      </c>
      <c r="D33" s="67"/>
      <c r="E33" s="67"/>
      <c r="F33" s="68"/>
      <c r="G33" s="69"/>
      <c r="H33" s="68"/>
      <c r="I33" s="68"/>
      <c r="J33" s="99"/>
      <c r="K33" s="21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20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10" t="str">
        <f>IF(D33="","",IF(E32="ND",VLOOKUP(D33,Datenblatt!$A$2:$C$31,3,FALSE)-1,IF(E32="ND12,5",VLOOKUP(D33,Datenblatt!$A$2:$C$31,3,FALSE)-0.5,VLOOKUP(D33,Datenblatt!$A$2:$C$31,3,FALSE))))</f>
        <v/>
      </c>
      <c r="N33" s="211" t="str">
        <f t="shared" si="2"/>
        <v/>
      </c>
      <c r="O33" s="211" t="str">
        <f t="shared" si="3"/>
        <v/>
      </c>
      <c r="P33" s="186">
        <f>IF(D33="",IF($P$47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$47="Freizeit",(-M33-J33+IF(ISNUMBER(N33),(N33*1.5),0)+IF(ISNUMBER(O33),(O33*2),0)+IF(OR(E33="ND",E33="ND12,5"),2,0)),(-M33-J33)),IF($P$47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103" t="str">
        <f>IF(D33="","",VLOOKUP(D33,Datenblatt!$A$2:$D$31,4,FALSE))</f>
        <v/>
      </c>
      <c r="R33" s="104" t="str">
        <f>IF(E33="","",VLOOKUP(E33,Datenblatt!$E$2:$G$28,2,FALSE))</f>
        <v/>
      </c>
      <c r="S33" s="105"/>
      <c r="T33" s="111">
        <f t="shared" si="5"/>
        <v>0</v>
      </c>
      <c r="U33" s="114">
        <f t="array" ref="U33">IF(T32=0,0,IF(AND((ROW(T32)=MATCH(TRUE,($T$1:$T$43)&gt;0,0)),(D32="ND")),IF(T32&lt;3,T32,3),IF(AND(ROW(T32)=MATCH(TRUE,($T$1:$T$43)&gt;0,0),D32="ND12,5"),IF(T32&lt;2.5,T32,2.5),IF(D32="ND12,5",2.5,(T32-V32-W32)))))</f>
        <v>0</v>
      </c>
      <c r="V33" s="112">
        <f t="array" ref="V33">IF(T33=0,0,IF(AND((ROW(T33)=MATCH(TRUE,($T$1:$T$43)&gt;0,0)),(D33="ND")),IF(AND(T33&gt;11,T33&lt;=25),T33-11,0),IF(AND(ROW(T33)=MATCH(TRUE,($T$1:$T$43)&gt;0,0),D33="ND12,5"),IF(AND(T33&gt;10.5,T33&lt;=12.5),T33-10.5,0),IF(D33="ND12,5",2,IF(T33&lt;14,T33,14)))))</f>
        <v>0</v>
      </c>
      <c r="W33" s="112">
        <f t="array" ref="W33">IF(T33=0,0,IF(AND((ROW(T33)=MATCH(TRUE,($T$1:$T$43)&gt;0,0)),(D33="ND")),IF(AND(T33&gt;3,T33&lt;11),T33-3,IF(T33&gt;=11,8,0)),IF(AND((ROW(T33)=MATCH(TRUE,($T$1:$T$43)&gt;0,0)),(D33="ND12,5")),IF(AND(T33&gt;2.5,T33&lt;10.5),T33-2.5,IF(T33&gt;=10.5,8,0)),IF(D33="ND12,5",8,IF(AND(T33&gt;14,T33&lt;22),(T33-V33),IF(T33&gt;=22,8,0))))))</f>
        <v>0</v>
      </c>
      <c r="X33" s="254">
        <f t="array" ref="X33">IF(T33=0,0,IF((AND((ROW(T33)=MATCH(TRUE,($T$1:$T$43)&gt;0,0)))),IF(W33&gt;=6,W33-6,0),IF(W33&gt;=2,2,W33)))</f>
        <v>0</v>
      </c>
      <c r="Y33" s="254">
        <f t="array" ref="Y33">IF(T32=0,0,(IF((AND((ROW(T32)=MATCH(TRUE,($T$1:$T$43)&gt;0,0)))),IF(W32&gt;=6,6,W32),IF(W32&gt;=2,W32-2,0))))</f>
        <v>0</v>
      </c>
      <c r="Z33" s="111" t="str">
        <f t="shared" si="6"/>
        <v/>
      </c>
      <c r="AA33" s="214">
        <f>IF(E32="ND",IF(ISERROR(MATCH(D33,Datenblatt!$L$2:$L$18,0)),3,2),IF(E32="ND12,5",IF(ISERROR(MATCH(D33,Datenblatt!$L$2:$L$18,0)),2.5,2),0))</f>
        <v>0</v>
      </c>
      <c r="AB33" s="214">
        <f>IF((IF(E33="ND",14-IF(D33="",0,VLOOKUP(D33,Datenblatt!$L$2:$M$30,2,FALSE)),IF(E33="ND12,5",2,0)))&lt;0,0,(IF(E33="ND",14-IF(D33="",0,VLOOKUP(D33,Datenblatt!$L$2:$M$30,2,FALSE)),IF(E33="ND12,5",2,0))))</f>
        <v>0</v>
      </c>
      <c r="AC33" s="214">
        <f t="shared" si="7"/>
        <v>0</v>
      </c>
      <c r="AD33" s="214">
        <f t="shared" si="8"/>
        <v>0</v>
      </c>
      <c r="AE33" s="214">
        <f t="shared" si="9"/>
        <v>0</v>
      </c>
      <c r="AF33" s="112">
        <f t="shared" si="10"/>
        <v>0</v>
      </c>
      <c r="AG33" s="112">
        <f t="shared" si="11"/>
        <v>0</v>
      </c>
      <c r="AH33" s="112">
        <f>IF(E33="",0,VLOOKUP(E33,Datenblatt!$E$2:$G$28,3,FALSE))</f>
        <v>0</v>
      </c>
    </row>
    <row r="34" spans="1:34" ht="13" customHeight="1">
      <c r="A34" s="89" t="str">
        <f>IF(ISERROR(VLOOKUP(C34,Datenblatt!$B$84:$B$97,1,FALSE)),"","Ft")</f>
        <v/>
      </c>
      <c r="B34" s="84">
        <f t="shared" si="0"/>
        <v>45464</v>
      </c>
      <c r="C34" s="86">
        <f t="shared" si="4"/>
        <v>45464</v>
      </c>
      <c r="D34" s="67"/>
      <c r="E34" s="67"/>
      <c r="F34" s="68"/>
      <c r="G34" s="69"/>
      <c r="H34" s="68"/>
      <c r="I34" s="68"/>
      <c r="J34" s="99"/>
      <c r="K34" s="21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20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10" t="str">
        <f>IF(D34="","",IF(E33="ND",VLOOKUP(D34,Datenblatt!$A$2:$C$31,3,FALSE)-1,IF(E33="ND12,5",VLOOKUP(D34,Datenblatt!$A$2:$C$31,3,FALSE)-0.5,VLOOKUP(D34,Datenblatt!$A$2:$C$31,3,FALSE))))</f>
        <v/>
      </c>
      <c r="N34" s="211" t="str">
        <f t="shared" si="2"/>
        <v/>
      </c>
      <c r="O34" s="211" t="str">
        <f t="shared" si="3"/>
        <v/>
      </c>
      <c r="P34" s="186">
        <f>IF(D34="",IF($P$47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$47="Freizeit",(-M34-J34+IF(ISNUMBER(N34),(N34*1.5),0)+IF(ISNUMBER(O34),(O34*2),0)+IF(OR(E34="ND",E34="ND12,5"),2,0)),(-M34-J34)),IF($P$47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103" t="str">
        <f>IF(D34="","",VLOOKUP(D34,Datenblatt!$A$2:$D$31,4,FALSE))</f>
        <v/>
      </c>
      <c r="R34" s="104" t="str">
        <f>IF(E34="","",VLOOKUP(E34,Datenblatt!$E$2:$G$28,2,FALSE))</f>
        <v/>
      </c>
      <c r="S34" s="105"/>
      <c r="T34" s="111">
        <f t="shared" si="5"/>
        <v>0</v>
      </c>
      <c r="U34" s="114">
        <f t="array" ref="U34">IF(T33=0,0,IF(AND((ROW(T33)=MATCH(TRUE,($T$1:$T$43)&gt;0,0)),(D33="ND")),IF(T33&lt;3,T33,3),IF(AND(ROW(T33)=MATCH(TRUE,($T$1:$T$43)&gt;0,0),D33="ND12,5"),IF(T33&lt;2.5,T33,2.5),IF(D33="ND12,5",2.5,(T33-V33-W33)))))</f>
        <v>0</v>
      </c>
      <c r="V34" s="112">
        <f t="array" ref="V34">IF(T34=0,0,IF(AND((ROW(T34)=MATCH(TRUE,($T$1:$T$43)&gt;0,0)),(D34="ND")),IF(AND(T34&gt;11,T34&lt;=25),T34-11,0),IF(AND(ROW(T34)=MATCH(TRUE,($T$1:$T$43)&gt;0,0),D34="ND12,5"),IF(AND(T34&gt;10.5,T34&lt;=12.5),T34-10.5,0),IF(D34="ND12,5",2,IF(T34&lt;14,T34,14)))))</f>
        <v>0</v>
      </c>
      <c r="W34" s="112">
        <f t="array" ref="W34">IF(T34=0,0,IF(AND((ROW(T34)=MATCH(TRUE,($T$1:$T$43)&gt;0,0)),(D34="ND")),IF(AND(T34&gt;3,T34&lt;11),T34-3,IF(T34&gt;=11,8,0)),IF(AND((ROW(T34)=MATCH(TRUE,($T$1:$T$43)&gt;0,0)),(D34="ND12,5")),IF(AND(T34&gt;2.5,T34&lt;10.5),T34-2.5,IF(T34&gt;=10.5,8,0)),IF(D34="ND12,5",8,IF(AND(T34&gt;14,T34&lt;22),(T34-V34),IF(T34&gt;=22,8,0))))))</f>
        <v>0</v>
      </c>
      <c r="X34" s="254">
        <f t="array" ref="X34">IF(T34=0,0,IF((AND((ROW(T34)=MATCH(TRUE,($T$1:$T$43)&gt;0,0)))),IF(W34&gt;=6,W34-6,0),IF(W34&gt;=2,2,W34)))</f>
        <v>0</v>
      </c>
      <c r="Y34" s="254">
        <f t="array" ref="Y34">IF(T33=0,0,(IF((AND((ROW(T33)=MATCH(TRUE,($T$1:$T$43)&gt;0,0)))),IF(W33&gt;=6,6,W33),IF(W33&gt;=2,W33-2,0))))</f>
        <v>0</v>
      </c>
      <c r="Z34" s="111" t="str">
        <f t="shared" si="6"/>
        <v/>
      </c>
      <c r="AA34" s="214">
        <f>IF(E33="ND",IF(ISERROR(MATCH(D34,Datenblatt!$L$2:$L$18,0)),3,2),IF(E33="ND12,5",IF(ISERROR(MATCH(D34,Datenblatt!$L$2:$L$18,0)),2.5,2),0))</f>
        <v>0</v>
      </c>
      <c r="AB34" s="214">
        <f>IF((IF(E34="ND",14-IF(D34="",0,VLOOKUP(D34,Datenblatt!$L$2:$M$30,2,FALSE)),IF(E34="ND12,5",2,0)))&lt;0,0,(IF(E34="ND",14-IF(D34="",0,VLOOKUP(D34,Datenblatt!$L$2:$M$30,2,FALSE)),IF(E34="ND12,5",2,0))))</f>
        <v>0</v>
      </c>
      <c r="AC34" s="214">
        <f t="shared" si="7"/>
        <v>0</v>
      </c>
      <c r="AD34" s="214">
        <f t="shared" si="8"/>
        <v>0</v>
      </c>
      <c r="AE34" s="214">
        <f t="shared" si="9"/>
        <v>0</v>
      </c>
      <c r="AF34" s="112">
        <f t="shared" si="10"/>
        <v>0</v>
      </c>
      <c r="AG34" s="112">
        <f t="shared" si="11"/>
        <v>0</v>
      </c>
      <c r="AH34" s="112">
        <f>IF(E34="",0,VLOOKUP(E34,Datenblatt!$E$2:$G$28,3,FALSE))</f>
        <v>0</v>
      </c>
    </row>
    <row r="35" spans="1:34" ht="13" customHeight="1">
      <c r="A35" s="89" t="str">
        <f>IF(ISERROR(VLOOKUP(C35,Datenblatt!$B$84:$B$97,1,FALSE)),"","Ft")</f>
        <v/>
      </c>
      <c r="B35" s="84">
        <f t="shared" si="0"/>
        <v>45465</v>
      </c>
      <c r="C35" s="86">
        <f t="shared" si="4"/>
        <v>45465</v>
      </c>
      <c r="D35" s="67"/>
      <c r="E35" s="67"/>
      <c r="F35" s="68"/>
      <c r="G35" s="69"/>
      <c r="H35" s="68"/>
      <c r="I35" s="68"/>
      <c r="J35" s="99"/>
      <c r="K35" s="21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20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10" t="str">
        <f>IF(D35="","",IF(E34="ND",VLOOKUP(D35,Datenblatt!$A$2:$C$31,3,FALSE)-1,IF(E34="ND12,5",VLOOKUP(D35,Datenblatt!$A$2:$C$31,3,FALSE)-0.5,VLOOKUP(D35,Datenblatt!$A$2:$C$31,3,FALSE))))</f>
        <v/>
      </c>
      <c r="N35" s="211" t="str">
        <f t="shared" si="2"/>
        <v/>
      </c>
      <c r="O35" s="211" t="str">
        <f t="shared" si="3"/>
        <v/>
      </c>
      <c r="P35" s="186">
        <f>IF(D35="",IF($P$47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$47="Freizeit",(-M35-J35+IF(ISNUMBER(N35),(N35*1.5),0)+IF(ISNUMBER(O35),(O35*2),0)+IF(OR(E35="ND",E35="ND12,5"),2,0)),(-M35-J35)),IF($P$47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103" t="str">
        <f>IF(D35="","",VLOOKUP(D35,Datenblatt!$A$2:$D$31,4,FALSE))</f>
        <v/>
      </c>
      <c r="R35" s="104" t="str">
        <f>IF(E35="","",VLOOKUP(E35,Datenblatt!$E$2:$G$28,2,FALSE))</f>
        <v/>
      </c>
      <c r="S35" s="105"/>
      <c r="T35" s="111">
        <f t="shared" si="5"/>
        <v>0</v>
      </c>
      <c r="U35" s="114">
        <f t="array" ref="U35">IF(T34=0,0,IF(AND((ROW(T34)=MATCH(TRUE,($T$1:$T$43)&gt;0,0)),(D34="ND")),IF(T34&lt;3,T34,3),IF(AND(ROW(T34)=MATCH(TRUE,($T$1:$T$43)&gt;0,0),D34="ND12,5"),IF(T34&lt;2.5,T34,2.5),IF(D34="ND12,5",2.5,(T34-V34-W34)))))</f>
        <v>0</v>
      </c>
      <c r="V35" s="112">
        <f t="array" ref="V35">IF(T35=0,0,IF(AND((ROW(T35)=MATCH(TRUE,($T$1:$T$43)&gt;0,0)),(D35="ND")),IF(AND(T35&gt;11,T35&lt;=25),T35-11,0),IF(AND(ROW(T35)=MATCH(TRUE,($T$1:$T$43)&gt;0,0),D35="ND12,5"),IF(AND(T35&gt;10.5,T35&lt;=12.5),T35-10.5,0),IF(D35="ND12,5",2,IF(T35&lt;14,T35,14)))))</f>
        <v>0</v>
      </c>
      <c r="W35" s="112">
        <f t="array" ref="W35">IF(T35=0,0,IF(AND((ROW(T35)=MATCH(TRUE,($T$1:$T$43)&gt;0,0)),(D35="ND")),IF(AND(T35&gt;3,T35&lt;11),T35-3,IF(T35&gt;=11,8,0)),IF(AND((ROW(T35)=MATCH(TRUE,($T$1:$T$43)&gt;0,0)),(D35="ND12,5")),IF(AND(T35&gt;2.5,T35&lt;10.5),T35-2.5,IF(T35&gt;=10.5,8,0)),IF(D35="ND12,5",8,IF(AND(T35&gt;14,T35&lt;22),(T35-V35),IF(T35&gt;=22,8,0))))))</f>
        <v>0</v>
      </c>
      <c r="X35" s="254">
        <f t="array" ref="X35">IF(T35=0,0,IF((AND((ROW(T35)=MATCH(TRUE,($T$1:$T$43)&gt;0,0)))),IF(W35&gt;=6,W35-6,0),IF(W35&gt;=2,2,W35)))</f>
        <v>0</v>
      </c>
      <c r="Y35" s="254">
        <f t="array" ref="Y35">IF(T34=0,0,(IF((AND((ROW(T34)=MATCH(TRUE,($T$1:$T$43)&gt;0,0)))),IF(W34&gt;=6,6,W34),IF(W34&gt;=2,W34-2,0))))</f>
        <v>0</v>
      </c>
      <c r="Z35" s="111" t="str">
        <f t="shared" si="6"/>
        <v/>
      </c>
      <c r="AA35" s="214">
        <f>IF(E34="ND",IF(ISERROR(MATCH(D35,Datenblatt!$L$2:$L$18,0)),3,2),IF(E34="ND12,5",IF(ISERROR(MATCH(D35,Datenblatt!$L$2:$L$18,0)),2.5,2),0))</f>
        <v>0</v>
      </c>
      <c r="AB35" s="214">
        <f>IF((IF(E35="ND",14-IF(D35="",0,VLOOKUP(D35,Datenblatt!$L$2:$M$30,2,FALSE)),IF(E35="ND12,5",2,0)))&lt;0,0,(IF(E35="ND",14-IF(D35="",0,VLOOKUP(D35,Datenblatt!$L$2:$M$30,2,FALSE)),IF(E35="ND12,5",2,0))))</f>
        <v>0</v>
      </c>
      <c r="AC35" s="214">
        <f t="shared" si="7"/>
        <v>0</v>
      </c>
      <c r="AD35" s="214">
        <f t="shared" si="8"/>
        <v>0</v>
      </c>
      <c r="AE35" s="214">
        <f t="shared" si="9"/>
        <v>0</v>
      </c>
      <c r="AF35" s="112">
        <f t="shared" si="10"/>
        <v>0</v>
      </c>
      <c r="AG35" s="112">
        <f t="shared" si="11"/>
        <v>0</v>
      </c>
      <c r="AH35" s="112">
        <f>IF(E35="",0,VLOOKUP(E35,Datenblatt!$E$2:$G$28,3,FALSE))</f>
        <v>0</v>
      </c>
    </row>
    <row r="36" spans="1:34" ht="13" customHeight="1">
      <c r="A36" s="89" t="str">
        <f>IF(ISERROR(VLOOKUP(C36,Datenblatt!$B$84:$B$97,1,FALSE)),"","Ft")</f>
        <v/>
      </c>
      <c r="B36" s="84">
        <f t="shared" si="0"/>
        <v>45466</v>
      </c>
      <c r="C36" s="86">
        <f t="shared" si="4"/>
        <v>45466</v>
      </c>
      <c r="D36" s="67"/>
      <c r="E36" s="67"/>
      <c r="F36" s="68"/>
      <c r="G36" s="69"/>
      <c r="H36" s="68"/>
      <c r="I36" s="68"/>
      <c r="J36" s="99"/>
      <c r="K36" s="21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20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10" t="str">
        <f>IF(D36="","",IF(E35="ND",VLOOKUP(D36,Datenblatt!$A$2:$C$31,3,FALSE)-1,IF(E35="ND12,5",VLOOKUP(D36,Datenblatt!$A$2:$C$31,3,FALSE)-0.5,VLOOKUP(D36,Datenblatt!$A$2:$C$31,3,FALSE))))</f>
        <v/>
      </c>
      <c r="N36" s="211" t="str">
        <f t="shared" si="2"/>
        <v/>
      </c>
      <c r="O36" s="211">
        <f t="shared" si="3"/>
        <v>0</v>
      </c>
      <c r="P36" s="186">
        <f>IF(D36="",IF($P$47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$47="Freizeit",(-M36-J36+IF(ISNUMBER(N36),(N36*1.5),0)+IF(ISNUMBER(O36),(O36*2),0)+IF(OR(E36="ND",E36="ND12,5"),2,0)),(-M36-J36)),IF($P$47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103" t="str">
        <f>IF(D36="","",VLOOKUP(D36,Datenblatt!$A$2:$D$31,4,FALSE))</f>
        <v/>
      </c>
      <c r="R36" s="104" t="str">
        <f>IF(E36="","",VLOOKUP(E36,Datenblatt!$E$2:$G$28,2,FALSE))</f>
        <v/>
      </c>
      <c r="S36" s="105"/>
      <c r="T36" s="111">
        <f t="shared" si="5"/>
        <v>0</v>
      </c>
      <c r="U36" s="114">
        <f t="array" ref="U36">IF(T35=0,0,IF(AND((ROW(T35)=MATCH(TRUE,($T$1:$T$43)&gt;0,0)),(D35="ND")),IF(T35&lt;3,T35,3),IF(AND(ROW(T35)=MATCH(TRUE,($T$1:$T$43)&gt;0,0),D35="ND12,5"),IF(T35&lt;2.5,T35,2.5),IF(D35="ND12,5",2.5,(T35-V35-W35)))))</f>
        <v>0</v>
      </c>
      <c r="V36" s="112">
        <f t="array" ref="V36">IF(T36=0,0,IF(AND((ROW(T36)=MATCH(TRUE,($T$1:$T$43)&gt;0,0)),(D36="ND")),IF(AND(T36&gt;11,T36&lt;=25),T36-11,0),IF(AND(ROW(T36)=MATCH(TRUE,($T$1:$T$43)&gt;0,0),D36="ND12,5"),IF(AND(T36&gt;10.5,T36&lt;=12.5),T36-10.5,0),IF(D36="ND12,5",2,IF(T36&lt;14,T36,14)))))</f>
        <v>0</v>
      </c>
      <c r="W36" s="112">
        <f t="array" ref="W36">IF(T36=0,0,IF(AND((ROW(T36)=MATCH(TRUE,($T$1:$T$43)&gt;0,0)),(D36="ND")),IF(AND(T36&gt;3,T36&lt;11),T36-3,IF(T36&gt;=11,8,0)),IF(AND((ROW(T36)=MATCH(TRUE,($T$1:$T$43)&gt;0,0)),(D36="ND12,5")),IF(AND(T36&gt;2.5,T36&lt;10.5),T36-2.5,IF(T36&gt;=10.5,8,0)),IF(D36="ND12,5",8,IF(AND(T36&gt;14,T36&lt;22),(T36-V36),IF(T36&gt;=22,8,0))))))</f>
        <v>0</v>
      </c>
      <c r="X36" s="254">
        <f t="array" ref="X36">IF(T36=0,0,IF((AND((ROW(T36)=MATCH(TRUE,($T$1:$T$43)&gt;0,0)))),IF(W36&gt;=6,W36-6,0),IF(W36&gt;=2,2,W36)))</f>
        <v>0</v>
      </c>
      <c r="Y36" s="254">
        <f t="array" ref="Y36">IF(T35=0,0,(IF((AND((ROW(T35)=MATCH(TRUE,($T$1:$T$43)&gt;0,0)))),IF(W35&gt;=6,6,W35),IF(W35&gt;=2,W35-2,0))))</f>
        <v>0</v>
      </c>
      <c r="Z36" s="111" t="str">
        <f t="shared" si="6"/>
        <v/>
      </c>
      <c r="AA36" s="214">
        <f>IF(E35="ND",IF(ISERROR(MATCH(D36,Datenblatt!$L$2:$L$18,0)),3,2),IF(E35="ND12,5",IF(ISERROR(MATCH(D36,Datenblatt!$L$2:$L$18,0)),2.5,2),0))</f>
        <v>0</v>
      </c>
      <c r="AB36" s="214">
        <f>IF((IF(E36="ND",14-IF(D36="",0,VLOOKUP(D36,Datenblatt!$L$2:$M$30,2,FALSE)),IF(E36="ND12,5",2,0)))&lt;0,0,(IF(E36="ND",14-IF(D36="",0,VLOOKUP(D36,Datenblatt!$L$2:$M$30,2,FALSE)),IF(E36="ND12,5",2,0))))</f>
        <v>0</v>
      </c>
      <c r="AC36" s="214">
        <f t="shared" si="7"/>
        <v>0</v>
      </c>
      <c r="AD36" s="214">
        <f t="shared" si="8"/>
        <v>0</v>
      </c>
      <c r="AE36" s="214">
        <f t="shared" si="9"/>
        <v>0</v>
      </c>
      <c r="AF36" s="112">
        <f t="shared" si="10"/>
        <v>0</v>
      </c>
      <c r="AG36" s="112">
        <f t="shared" si="11"/>
        <v>0</v>
      </c>
      <c r="AH36" s="112">
        <f>IF(E36="",0,VLOOKUP(E36,Datenblatt!$E$2:$G$28,3,FALSE))</f>
        <v>0</v>
      </c>
    </row>
    <row r="37" spans="1:34" ht="13" customHeight="1">
      <c r="A37" s="89" t="str">
        <f>IF(ISERROR(VLOOKUP(C37,Datenblatt!$B$84:$B$97,1,FALSE)),"","Ft")</f>
        <v/>
      </c>
      <c r="B37" s="84">
        <f t="shared" si="0"/>
        <v>45467</v>
      </c>
      <c r="C37" s="86">
        <f t="shared" si="4"/>
        <v>45467</v>
      </c>
      <c r="D37" s="67"/>
      <c r="E37" s="67"/>
      <c r="F37" s="68"/>
      <c r="G37" s="69"/>
      <c r="H37" s="68"/>
      <c r="I37" s="68"/>
      <c r="J37" s="99"/>
      <c r="K37" s="21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20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10" t="str">
        <f>IF(D37="","",IF(E36="ND",VLOOKUP(D37,Datenblatt!$A$2:$C$31,3,FALSE)-1,IF(E36="ND12,5",VLOOKUP(D37,Datenblatt!$A$2:$C$31,3,FALSE)-0.5,VLOOKUP(D37,Datenblatt!$A$2:$C$31,3,FALSE))))</f>
        <v/>
      </c>
      <c r="N37" s="211" t="str">
        <f t="shared" si="2"/>
        <v/>
      </c>
      <c r="O37" s="211" t="str">
        <f t="shared" si="3"/>
        <v/>
      </c>
      <c r="P37" s="186">
        <f>IF(D37="",IF($P$47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$47="Freizeit",(-M37-J37+IF(ISNUMBER(N37),(N37*1.5),0)+IF(ISNUMBER(O37),(O37*2),0)+IF(OR(E37="ND",E37="ND12,5"),2,0)),(-M37-J37)),IF($P$47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103" t="str">
        <f>IF(D37="","",VLOOKUP(D37,Datenblatt!$A$2:$D$31,4,FALSE))</f>
        <v/>
      </c>
      <c r="R37" s="104" t="str">
        <f>IF(E37="","",VLOOKUP(E37,Datenblatt!$E$2:$G$28,2,FALSE))</f>
        <v/>
      </c>
      <c r="S37" s="105"/>
      <c r="T37" s="111">
        <f t="shared" si="5"/>
        <v>0</v>
      </c>
      <c r="U37" s="114">
        <f t="array" ref="U37">IF(T36=0,0,IF(AND((ROW(T36)=MATCH(TRUE,($T$1:$T$43)&gt;0,0)),(D36="ND")),IF(T36&lt;3,T36,3),IF(AND(ROW(T36)=MATCH(TRUE,($T$1:$T$43)&gt;0,0),D36="ND12,5"),IF(T36&lt;2.5,T36,2.5),IF(D36="ND12,5",2.5,(T36-V36-W36)))))</f>
        <v>0</v>
      </c>
      <c r="V37" s="112">
        <f t="array" ref="V37">IF(T37=0,0,IF(AND((ROW(T37)=MATCH(TRUE,($T$1:$T$43)&gt;0,0)),(D37="ND")),IF(AND(T37&gt;11,T37&lt;=25),T37-11,0),IF(AND(ROW(T37)=MATCH(TRUE,($T$1:$T$43)&gt;0,0),D37="ND12,5"),IF(AND(T37&gt;10.5,T37&lt;=12.5),T37-10.5,0),IF(D37="ND12,5",2,IF(T37&lt;14,T37,14)))))</f>
        <v>0</v>
      </c>
      <c r="W37" s="112">
        <f t="array" ref="W37">IF(T37=0,0,IF(AND((ROW(T37)=MATCH(TRUE,($T$1:$T$43)&gt;0,0)),(D37="ND")),IF(AND(T37&gt;3,T37&lt;11),T37-3,IF(T37&gt;=11,8,0)),IF(AND((ROW(T37)=MATCH(TRUE,($T$1:$T$43)&gt;0,0)),(D37="ND12,5")),IF(AND(T37&gt;2.5,T37&lt;10.5),T37-2.5,IF(T37&gt;=10.5,8,0)),IF(D37="ND12,5",8,IF(AND(T37&gt;14,T37&lt;22),(T37-V37),IF(T37&gt;=22,8,0))))))</f>
        <v>0</v>
      </c>
      <c r="X37" s="254">
        <f t="array" ref="X37">IF(T37=0,0,IF((AND((ROW(T37)=MATCH(TRUE,($T$1:$T$43)&gt;0,0)))),IF(W37&gt;=6,W37-6,0),IF(W37&gt;=2,2,W37)))</f>
        <v>0</v>
      </c>
      <c r="Y37" s="254">
        <f t="array" ref="Y37">IF(T36=0,0,(IF((AND((ROW(T36)=MATCH(TRUE,($T$1:$T$43)&gt;0,0)))),IF(W36&gt;=6,6,W36),IF(W36&gt;=2,W36-2,0))))</f>
        <v>0</v>
      </c>
      <c r="Z37" s="111" t="str">
        <f t="shared" si="6"/>
        <v/>
      </c>
      <c r="AA37" s="214">
        <f>IF(E36="ND",IF(ISERROR(MATCH(D37,Datenblatt!$L$2:$L$18,0)),3,2),IF(E36="ND12,5",IF(ISERROR(MATCH(D37,Datenblatt!$L$2:$L$18,0)),2.5,2),0))</f>
        <v>0</v>
      </c>
      <c r="AB37" s="214">
        <f>IF((IF(E37="ND",14-IF(D37="",0,VLOOKUP(D37,Datenblatt!$L$2:$M$30,2,FALSE)),IF(E37="ND12,5",2,0)))&lt;0,0,(IF(E37="ND",14-IF(D37="",0,VLOOKUP(D37,Datenblatt!$L$2:$M$30,2,FALSE)),IF(E37="ND12,5",2,0))))</f>
        <v>0</v>
      </c>
      <c r="AC37" s="214">
        <f t="shared" si="7"/>
        <v>0</v>
      </c>
      <c r="AD37" s="214">
        <f t="shared" si="8"/>
        <v>0</v>
      </c>
      <c r="AE37" s="214">
        <f t="shared" si="9"/>
        <v>0</v>
      </c>
      <c r="AF37" s="112">
        <f t="shared" si="10"/>
        <v>0</v>
      </c>
      <c r="AG37" s="112">
        <f t="shared" si="11"/>
        <v>0</v>
      </c>
      <c r="AH37" s="112">
        <f>IF(E37="",0,VLOOKUP(E37,Datenblatt!$E$2:$G$28,3,FALSE))</f>
        <v>0</v>
      </c>
    </row>
    <row r="38" spans="1:34" ht="13" customHeight="1">
      <c r="A38" s="89" t="str">
        <f>IF(ISERROR(VLOOKUP(C38,Datenblatt!$B$84:$B$97,1,FALSE)),"","Ft")</f>
        <v/>
      </c>
      <c r="B38" s="84">
        <f t="shared" si="0"/>
        <v>45468</v>
      </c>
      <c r="C38" s="86">
        <f t="shared" si="4"/>
        <v>45468</v>
      </c>
      <c r="D38" s="67"/>
      <c r="E38" s="67"/>
      <c r="F38" s="68"/>
      <c r="G38" s="69"/>
      <c r="H38" s="68"/>
      <c r="I38" s="68"/>
      <c r="J38" s="99"/>
      <c r="K38" s="21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20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10" t="str">
        <f>IF(D38="","",IF(E37="ND",VLOOKUP(D38,Datenblatt!$A$2:$C$31,3,FALSE)-1,IF(E37="ND12,5",VLOOKUP(D38,Datenblatt!$A$2:$C$31,3,FALSE)-0.5,VLOOKUP(D38,Datenblatt!$A$2:$C$31,3,FALSE))))</f>
        <v/>
      </c>
      <c r="N38" s="211" t="str">
        <f t="shared" si="2"/>
        <v/>
      </c>
      <c r="O38" s="211" t="str">
        <f t="shared" si="3"/>
        <v/>
      </c>
      <c r="P38" s="186">
        <f>IF(D38="",IF($P$47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$47="Freizeit",(-M38-J38+IF(ISNUMBER(N38),(N38*1.5),0)+IF(ISNUMBER(O38),(O38*2),0)+IF(OR(E38="ND",E38="ND12,5"),2,0)),(-M38-J38)),IF($P$47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103" t="str">
        <f>IF(D38="","",VLOOKUP(D38,Datenblatt!$A$2:$D$31,4,FALSE))</f>
        <v/>
      </c>
      <c r="R38" s="104" t="str">
        <f>IF(E38="","",VLOOKUP(E38,Datenblatt!$E$2:$G$28,2,FALSE))</f>
        <v/>
      </c>
      <c r="S38" s="105"/>
      <c r="T38" s="111">
        <f t="shared" si="5"/>
        <v>0</v>
      </c>
      <c r="U38" s="114">
        <f t="array" ref="U38">IF(T37=0,0,IF(AND((ROW(T37)=MATCH(TRUE,($T$1:$T$43)&gt;0,0)),(D37="ND")),IF(T37&lt;3,T37,3),IF(AND(ROW(T37)=MATCH(TRUE,($T$1:$T$43)&gt;0,0),D37="ND12,5"),IF(T37&lt;2.5,T37,2.5),IF(D37="ND12,5",2.5,(T37-V37-W37)))))</f>
        <v>0</v>
      </c>
      <c r="V38" s="112">
        <f t="array" ref="V38">IF(T38=0,0,IF(AND((ROW(T38)=MATCH(TRUE,($T$1:$T$43)&gt;0,0)),(D38="ND")),IF(AND(T38&gt;11,T38&lt;=25),T38-11,0),IF(AND(ROW(T38)=MATCH(TRUE,($T$1:$T$43)&gt;0,0),D38="ND12,5"),IF(AND(T38&gt;10.5,T38&lt;=12.5),T38-10.5,0),IF(D38="ND12,5",2,IF(T38&lt;14,T38,14)))))</f>
        <v>0</v>
      </c>
      <c r="W38" s="112">
        <f t="array" ref="W38">IF(T38=0,0,IF(AND((ROW(T38)=MATCH(TRUE,($T$1:$T$43)&gt;0,0)),(D38="ND")),IF(AND(T38&gt;3,T38&lt;11),T38-3,IF(T38&gt;=11,8,0)),IF(AND((ROW(T38)=MATCH(TRUE,($T$1:$T$43)&gt;0,0)),(D38="ND12,5")),IF(AND(T38&gt;2.5,T38&lt;10.5),T38-2.5,IF(T38&gt;=10.5,8,0)),IF(D38="ND12,5",8,IF(AND(T38&gt;14,T38&lt;22),(T38-V38),IF(T38&gt;=22,8,0))))))</f>
        <v>0</v>
      </c>
      <c r="X38" s="254">
        <f t="array" ref="X38">IF(T38=0,0,IF((AND((ROW(T38)=MATCH(TRUE,($T$1:$T$43)&gt;0,0)))),IF(W38&gt;=6,W38-6,0),IF(W38&gt;=2,2,W38)))</f>
        <v>0</v>
      </c>
      <c r="Y38" s="254">
        <f t="array" ref="Y38">IF(T37=0,0,(IF((AND((ROW(T37)=MATCH(TRUE,($T$1:$T$43)&gt;0,0)))),IF(W37&gt;=6,6,W37),IF(W37&gt;=2,W37-2,0))))</f>
        <v>0</v>
      </c>
      <c r="Z38" s="111" t="str">
        <f t="shared" si="6"/>
        <v/>
      </c>
      <c r="AA38" s="214">
        <f>IF(E37="ND",IF(ISERROR(MATCH(D38,Datenblatt!$L$2:$L$18,0)),3,2),IF(E37="ND12,5",IF(ISERROR(MATCH(D38,Datenblatt!$L$2:$L$18,0)),2.5,2),0))</f>
        <v>0</v>
      </c>
      <c r="AB38" s="214">
        <f>IF((IF(E38="ND",14-IF(D38="",0,VLOOKUP(D38,Datenblatt!$L$2:$M$30,2,FALSE)),IF(E38="ND12,5",2,0)))&lt;0,0,(IF(E38="ND",14-IF(D38="",0,VLOOKUP(D38,Datenblatt!$L$2:$M$30,2,FALSE)),IF(E38="ND12,5",2,0))))</f>
        <v>0</v>
      </c>
      <c r="AC38" s="214">
        <f t="shared" si="7"/>
        <v>0</v>
      </c>
      <c r="AD38" s="214">
        <f t="shared" si="8"/>
        <v>0</v>
      </c>
      <c r="AE38" s="214">
        <f t="shared" si="9"/>
        <v>0</v>
      </c>
      <c r="AF38" s="112">
        <f t="shared" si="10"/>
        <v>0</v>
      </c>
      <c r="AG38" s="112">
        <f t="shared" si="11"/>
        <v>0</v>
      </c>
      <c r="AH38" s="112">
        <f>IF(E38="",0,VLOOKUP(E38,Datenblatt!$E$2:$G$28,3,FALSE))</f>
        <v>0</v>
      </c>
    </row>
    <row r="39" spans="1:34" ht="13" customHeight="1">
      <c r="A39" s="89" t="str">
        <f>IF(ISERROR(VLOOKUP(C39,Datenblatt!$B$84:$B$97,1,FALSE)),"","Ft")</f>
        <v/>
      </c>
      <c r="B39" s="84">
        <f t="shared" si="0"/>
        <v>45469</v>
      </c>
      <c r="C39" s="86">
        <f t="shared" si="4"/>
        <v>45469</v>
      </c>
      <c r="D39" s="67"/>
      <c r="E39" s="67"/>
      <c r="F39" s="68"/>
      <c r="G39" s="69"/>
      <c r="H39" s="68"/>
      <c r="I39" s="68"/>
      <c r="J39" s="99"/>
      <c r="K39" s="21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20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10" t="str">
        <f>IF(D39="","",IF(E38="ND",VLOOKUP(D39,Datenblatt!$A$2:$C$31,3,FALSE)-1,IF(E38="ND12,5",VLOOKUP(D39,Datenblatt!$A$2:$C$31,3,FALSE)-0.5,VLOOKUP(D39,Datenblatt!$A$2:$C$31,3,FALSE))))</f>
        <v/>
      </c>
      <c r="N39" s="211" t="str">
        <f t="shared" si="2"/>
        <v/>
      </c>
      <c r="O39" s="211" t="str">
        <f t="shared" si="3"/>
        <v/>
      </c>
      <c r="P39" s="186">
        <f>IF(D39="",IF($P$47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$47="Freizeit",(-M39-J39+IF(ISNUMBER(N39),(N39*1.5),0)+IF(ISNUMBER(O39),(O39*2),0)+IF(OR(E39="ND",E39="ND12,5"),2,0)),(-M39-J39)),IF($P$47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103" t="str">
        <f>IF(D39="","",VLOOKUP(D39,Datenblatt!$A$2:$D$31,4,FALSE))</f>
        <v/>
      </c>
      <c r="R39" s="104" t="str">
        <f>IF(E39="","",VLOOKUP(E39,Datenblatt!$E$2:$G$28,2,FALSE))</f>
        <v/>
      </c>
      <c r="S39" s="105"/>
      <c r="T39" s="111">
        <f t="shared" si="5"/>
        <v>0</v>
      </c>
      <c r="U39" s="114">
        <f t="array" ref="U39">IF(T38=0,0,IF(AND((ROW(T38)=MATCH(TRUE,($T$1:$T$43)&gt;0,0)),(D38="ND")),IF(T38&lt;3,T38,3),IF(AND(ROW(T38)=MATCH(TRUE,($T$1:$T$43)&gt;0,0),D38="ND12,5"),IF(T38&lt;2.5,T38,2.5),IF(D38="ND12,5",2.5,(T38-V38-W38)))))</f>
        <v>0</v>
      </c>
      <c r="V39" s="112">
        <f t="array" ref="V39">IF(T39=0,0,IF(AND((ROW(T39)=MATCH(TRUE,($T$1:$T$43)&gt;0,0)),(D39="ND")),IF(AND(T39&gt;11,T39&lt;=25),T39-11,0),IF(AND(ROW(T39)=MATCH(TRUE,($T$1:$T$43)&gt;0,0),D39="ND12,5"),IF(AND(T39&gt;10.5,T39&lt;=12.5),T39-10.5,0),IF(D39="ND12,5",2,IF(T39&lt;14,T39,14)))))</f>
        <v>0</v>
      </c>
      <c r="W39" s="112">
        <f t="array" ref="W39">IF(T39=0,0,IF(AND((ROW(T39)=MATCH(TRUE,($T$1:$T$43)&gt;0,0)),(D39="ND")),IF(AND(T39&gt;3,T39&lt;11),T39-3,IF(T39&gt;=11,8,0)),IF(AND((ROW(T39)=MATCH(TRUE,($T$1:$T$43)&gt;0,0)),(D39="ND12,5")),IF(AND(T39&gt;2.5,T39&lt;10.5),T39-2.5,IF(T39&gt;=10.5,8,0)),IF(D39="ND12,5",8,IF(AND(T39&gt;14,T39&lt;22),(T39-V39),IF(T39&gt;=22,8,0))))))</f>
        <v>0</v>
      </c>
      <c r="X39" s="254">
        <f t="array" ref="X39">IF(T39=0,0,IF((AND((ROW(T39)=MATCH(TRUE,($T$1:$T$43)&gt;0,0)))),IF(W39&gt;=6,W39-6,0),IF(W39&gt;=2,2,W39)))</f>
        <v>0</v>
      </c>
      <c r="Y39" s="254">
        <f t="array" ref="Y39">IF(T38=0,0,(IF((AND((ROW(T38)=MATCH(TRUE,($T$1:$T$43)&gt;0,0)))),IF(W38&gt;=6,6,W38),IF(W38&gt;=2,W38-2,0))))</f>
        <v>0</v>
      </c>
      <c r="Z39" s="111" t="str">
        <f t="shared" si="6"/>
        <v/>
      </c>
      <c r="AA39" s="214">
        <f>IF(E38="ND",IF(ISERROR(MATCH(D39,Datenblatt!$L$2:$L$18,0)),3,2),IF(E38="ND12,5",IF(ISERROR(MATCH(D39,Datenblatt!$L$2:$L$18,0)),2.5,2),0))</f>
        <v>0</v>
      </c>
      <c r="AB39" s="214">
        <f>IF((IF(E39="ND",14-IF(D39="",0,VLOOKUP(D39,Datenblatt!$L$2:$M$30,2,FALSE)),IF(E39="ND12,5",2,0)))&lt;0,0,(IF(E39="ND",14-IF(D39="",0,VLOOKUP(D39,Datenblatt!$L$2:$M$30,2,FALSE)),IF(E39="ND12,5",2,0))))</f>
        <v>0</v>
      </c>
      <c r="AC39" s="214">
        <f t="shared" si="7"/>
        <v>0</v>
      </c>
      <c r="AD39" s="214">
        <f t="shared" si="8"/>
        <v>0</v>
      </c>
      <c r="AE39" s="214">
        <f t="shared" si="9"/>
        <v>0</v>
      </c>
      <c r="AF39" s="112">
        <f t="shared" si="10"/>
        <v>0</v>
      </c>
      <c r="AG39" s="112">
        <f t="shared" si="11"/>
        <v>0</v>
      </c>
      <c r="AH39" s="112">
        <f>IF(E39="",0,VLOOKUP(E39,Datenblatt!$E$2:$G$28,3,FALSE))</f>
        <v>0</v>
      </c>
    </row>
    <row r="40" spans="1:34" ht="13" customHeight="1">
      <c r="A40" s="89" t="str">
        <f>IF(ISERROR(VLOOKUP(C40,Datenblatt!$B$84:$B$97,1,FALSE)),"","Ft")</f>
        <v/>
      </c>
      <c r="B40" s="84">
        <f t="shared" si="0"/>
        <v>45470</v>
      </c>
      <c r="C40" s="86">
        <f t="shared" si="4"/>
        <v>45470</v>
      </c>
      <c r="D40" s="67"/>
      <c r="E40" s="67"/>
      <c r="F40" s="68"/>
      <c r="G40" s="69"/>
      <c r="H40" s="68"/>
      <c r="I40" s="68"/>
      <c r="J40" s="99"/>
      <c r="K40" s="21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20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10" t="str">
        <f>IF(D40="","",IF(E39="ND",VLOOKUP(D40,Datenblatt!$A$2:$C$31,3,FALSE)-1,IF(E39="ND12,5",VLOOKUP(D40,Datenblatt!$A$2:$C$31,3,FALSE)-0.5,VLOOKUP(D40,Datenblatt!$A$2:$C$31,3,FALSE))))</f>
        <v/>
      </c>
      <c r="N40" s="211" t="str">
        <f t="shared" si="2"/>
        <v/>
      </c>
      <c r="O40" s="211" t="str">
        <f t="shared" si="3"/>
        <v/>
      </c>
      <c r="P40" s="186">
        <f>IF(D40="",IF($P$47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$47="Freizeit",(-M40-J40+IF(ISNUMBER(N40),(N40*1.5),0)+IF(ISNUMBER(O40),(O40*2),0)+IF(OR(E40="ND",E40="ND12,5"),2,0)),(-M40-J40)),IF($P$47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103" t="str">
        <f>IF(D40="","",VLOOKUP(D40,Datenblatt!$A$2:$D$31,4,FALSE))</f>
        <v/>
      </c>
      <c r="R40" s="104" t="str">
        <f>IF(E40="","",VLOOKUP(E40,Datenblatt!$E$2:$G$28,2,FALSE))</f>
        <v/>
      </c>
      <c r="S40" s="106"/>
      <c r="T40" s="111">
        <f t="shared" si="5"/>
        <v>0</v>
      </c>
      <c r="U40" s="114">
        <f t="array" ref="U40">IF(T39=0,0,IF(AND((ROW(T39)=MATCH(TRUE,($T$1:$T$43)&gt;0,0)),(D39="ND")),IF(T39&lt;3,T39,3),IF(AND(ROW(T39)=MATCH(TRUE,($T$1:$T$43)&gt;0,0),D39="ND12,5"),IF(T39&lt;2.5,T39,2.5),IF(D39="ND12,5",2.5,(T39-V39-W39)))))</f>
        <v>0</v>
      </c>
      <c r="V40" s="112">
        <f t="array" ref="V40">IF(T40=0,0,IF(AND((ROW(T40)=MATCH(TRUE,($T$1:$T$43)&gt;0,0)),(D40="ND")),IF(AND(T40&gt;11,T40&lt;=25),T40-11,0),IF(AND(ROW(T40)=MATCH(TRUE,($T$1:$T$43)&gt;0,0),D40="ND12,5"),IF(AND(T40&gt;10.5,T40&lt;=12.5),T40-10.5,0),IF(D40="ND12,5",2,IF(T40&lt;14,T40,14)))))</f>
        <v>0</v>
      </c>
      <c r="W40" s="112">
        <f t="array" ref="W40">IF(T40=0,0,IF(AND((ROW(T40)=MATCH(TRUE,($T$1:$T$43)&gt;0,0)),(D40="ND")),IF(AND(T40&gt;3,T40&lt;11),T40-3,IF(T40&gt;=11,8,0)),IF(AND((ROW(T40)=MATCH(TRUE,($T$1:$T$43)&gt;0,0)),(D40="ND12,5")),IF(AND(T40&gt;2.5,T40&lt;10.5),T40-2.5,IF(T40&gt;=10.5,8,0)),IF(D40="ND12,5",8,IF(AND(T40&gt;14,T40&lt;22),(T40-V40),IF(T40&gt;=22,8,0))))))</f>
        <v>0</v>
      </c>
      <c r="X40" s="254">
        <f t="array" ref="X40">IF(T40=0,0,IF((AND((ROW(T40)=MATCH(TRUE,($T$1:$T$43)&gt;0,0)))),IF(W40&gt;=6,W40-6,0),IF(W40&gt;=2,2,W40)))</f>
        <v>0</v>
      </c>
      <c r="Y40" s="254">
        <f t="array" ref="Y40">IF(T39=0,0,(IF((AND((ROW(T39)=MATCH(TRUE,($T$1:$T$43)&gt;0,0)))),IF(W39&gt;=6,6,W39),IF(W39&gt;=2,W39-2,0))))</f>
        <v>0</v>
      </c>
      <c r="Z40" s="111" t="str">
        <f t="shared" si="6"/>
        <v/>
      </c>
      <c r="AA40" s="214">
        <f>IF(E39="ND",IF(ISERROR(MATCH(D40,Datenblatt!$L$2:$L$18,0)),3,2),IF(E39="ND12,5",IF(ISERROR(MATCH(D40,Datenblatt!$L$2:$L$18,0)),2.5,2),0))</f>
        <v>0</v>
      </c>
      <c r="AB40" s="214">
        <f>IF((IF(E40="ND",14-IF(D40="",0,VLOOKUP(D40,Datenblatt!$L$2:$M$30,2,FALSE)),IF(E40="ND12,5",2,0)))&lt;0,0,(IF(E40="ND",14-IF(D40="",0,VLOOKUP(D40,Datenblatt!$L$2:$M$30,2,FALSE)),IF(E40="ND12,5",2,0))))</f>
        <v>0</v>
      </c>
      <c r="AC40" s="214">
        <f t="shared" si="7"/>
        <v>0</v>
      </c>
      <c r="AD40" s="214">
        <f t="shared" si="8"/>
        <v>0</v>
      </c>
      <c r="AE40" s="214">
        <f t="shared" si="9"/>
        <v>0</v>
      </c>
      <c r="AF40" s="112">
        <f t="shared" si="10"/>
        <v>0</v>
      </c>
      <c r="AG40" s="112">
        <f t="shared" si="11"/>
        <v>0</v>
      </c>
      <c r="AH40" s="112">
        <f>IF(E40="",0,VLOOKUP(E40,Datenblatt!$E$2:$G$28,3,FALSE))</f>
        <v>0</v>
      </c>
    </row>
    <row r="41" spans="1:34" ht="13" customHeight="1">
      <c r="A41" s="89" t="str">
        <f>IF(ISERROR(VLOOKUP(C41,Datenblatt!$B$84:$B$97,1,FALSE)),"","Ft")</f>
        <v/>
      </c>
      <c r="B41" s="84">
        <f t="shared" si="0"/>
        <v>45471</v>
      </c>
      <c r="C41" s="86">
        <f t="shared" si="4"/>
        <v>45471</v>
      </c>
      <c r="D41" s="67"/>
      <c r="E41" s="67"/>
      <c r="F41" s="68"/>
      <c r="G41" s="69"/>
      <c r="H41" s="68"/>
      <c r="I41" s="68"/>
      <c r="J41" s="99"/>
      <c r="K41" s="21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20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10" t="str">
        <f>IF(D41="","",IF(E40="ND",VLOOKUP(D41,Datenblatt!$A$2:$C$31,3,FALSE)-1,IF(E40="ND12,5",VLOOKUP(D41,Datenblatt!$A$2:$C$31,3,FALSE)-0.5,VLOOKUP(D41,Datenblatt!$A$2:$C$31,3,FALSE))))</f>
        <v/>
      </c>
      <c r="N41" s="211" t="str">
        <f t="shared" si="2"/>
        <v/>
      </c>
      <c r="O41" s="211" t="str">
        <f t="shared" si="3"/>
        <v/>
      </c>
      <c r="P41" s="186">
        <f>IF(D41="",IF($P$47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$47="Freizeit",(-M41-J41+IF(ISNUMBER(N41),(N41*1.5),0)+IF(ISNUMBER(O41),(O41*2),0)+IF(OR(E41="ND",E41="ND12,5"),2,0)),(-M41-J41)),IF($P$47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103" t="str">
        <f>IF(D41="","",VLOOKUP(D41,Datenblatt!$A$2:$D$31,4,FALSE))</f>
        <v/>
      </c>
      <c r="R41" s="104" t="str">
        <f>IF(E41="","",VLOOKUP(E41,Datenblatt!$E$2:$G$28,2,FALSE))</f>
        <v/>
      </c>
      <c r="S41" s="106"/>
      <c r="T41" s="111">
        <f t="shared" si="5"/>
        <v>0</v>
      </c>
      <c r="U41" s="114">
        <f t="array" ref="U41">IF(T40=0,0,IF(AND((ROW(T40)=MATCH(TRUE,($T$1:$T$43)&gt;0,0)),(D40="ND")),IF(T40&lt;3,T40,3),IF(AND(ROW(T40)=MATCH(TRUE,($T$1:$T$43)&gt;0,0),D40="ND12,5"),IF(T40&lt;2.5,T40,2.5),IF(D40="ND12,5",2.5,(T40-V40-W40)))))</f>
        <v>0</v>
      </c>
      <c r="V41" s="112">
        <f t="array" ref="V41">IF(T41=0,0,IF(AND((ROW(T41)=MATCH(TRUE,($T$1:$T$43)&gt;0,0)),(D41="ND")),IF(AND(T41&gt;11,T41&lt;=25),T41-11,0),IF(AND(ROW(T41)=MATCH(TRUE,($T$1:$T$43)&gt;0,0),D41="ND12,5"),IF(AND(T41&gt;10.5,T41&lt;=12.5),T41-10.5,0),IF(D41="ND12,5",2,IF(T41&lt;14,T41,14)))))</f>
        <v>0</v>
      </c>
      <c r="W41" s="112">
        <f t="array" ref="W41">IF(T41=0,0,IF(AND((ROW(T41)=MATCH(TRUE,($T$1:$T$43)&gt;0,0)),(D41="ND")),IF(AND(T41&gt;3,T41&lt;11),T41-3,IF(T41&gt;=11,8,0)),IF(AND((ROW(T41)=MATCH(TRUE,($T$1:$T$43)&gt;0,0)),(D41="ND12,5")),IF(AND(T41&gt;2.5,T41&lt;10.5),T41-2.5,IF(T41&gt;=10.5,8,0)),IF(D41="ND12,5",8,IF(AND(T41&gt;14,T41&lt;22),(T41-V41),IF(T41&gt;=22,8,0))))))</f>
        <v>0</v>
      </c>
      <c r="X41" s="254">
        <f t="array" ref="X41">IF(T41=0,0,IF((AND((ROW(T41)=MATCH(TRUE,($T$1:$T$43)&gt;0,0)))),IF(W41&gt;=6,W41-6,0),IF(W41&gt;=2,2,W41)))</f>
        <v>0</v>
      </c>
      <c r="Y41" s="254">
        <f t="array" ref="Y41">IF(T40=0,0,(IF((AND((ROW(T40)=MATCH(TRUE,($T$1:$T$43)&gt;0,0)))),IF(W40&gt;=6,6,W40),IF(W40&gt;=2,W40-2,0))))</f>
        <v>0</v>
      </c>
      <c r="Z41" s="111" t="str">
        <f t="shared" si="6"/>
        <v/>
      </c>
      <c r="AA41" s="214">
        <f>IF(E40="ND",IF(ISERROR(MATCH(D41,Datenblatt!$L$2:$L$18,0)),3,2),IF(E40="ND12,5",IF(ISERROR(MATCH(D41,Datenblatt!$L$2:$L$18,0)),2.5,2),0))</f>
        <v>0</v>
      </c>
      <c r="AB41" s="214">
        <f>IF((IF(E41="ND",14-IF(D41="",0,VLOOKUP(D41,Datenblatt!$L$2:$M$30,2,FALSE)),IF(E41="ND12,5",2,0)))&lt;0,0,(IF(E41="ND",14-IF(D41="",0,VLOOKUP(D41,Datenblatt!$L$2:$M$30,2,FALSE)),IF(E41="ND12,5",2,0))))</f>
        <v>0</v>
      </c>
      <c r="AC41" s="214">
        <f t="shared" si="7"/>
        <v>0</v>
      </c>
      <c r="AD41" s="214">
        <f t="shared" si="8"/>
        <v>0</v>
      </c>
      <c r="AE41" s="214">
        <f t="shared" si="9"/>
        <v>0</v>
      </c>
      <c r="AF41" s="112">
        <f t="shared" si="10"/>
        <v>0</v>
      </c>
      <c r="AG41" s="112">
        <f t="shared" si="11"/>
        <v>0</v>
      </c>
      <c r="AH41" s="112">
        <f>IF(E41="",0,VLOOKUP(E41,Datenblatt!$E$2:$G$28,3,FALSE))</f>
        <v>0</v>
      </c>
    </row>
    <row r="42" spans="1:34" ht="13" customHeight="1">
      <c r="A42" s="89" t="str">
        <f>IF(ISERROR(VLOOKUP(C42,Datenblatt!$B$84:$B$97,1,FALSE)),"","Ft")</f>
        <v/>
      </c>
      <c r="B42" s="84">
        <f t="shared" si="0"/>
        <v>45472</v>
      </c>
      <c r="C42" s="87">
        <f>C41+1</f>
        <v>45472</v>
      </c>
      <c r="D42" s="67"/>
      <c r="E42" s="67"/>
      <c r="F42" s="68"/>
      <c r="G42" s="69"/>
      <c r="H42" s="68"/>
      <c r="I42" s="68"/>
      <c r="J42" s="99"/>
      <c r="K42" s="21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20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10" t="str">
        <f>IF(D42="","",IF(E41="ND",VLOOKUP(D42,Datenblatt!$A$2:$C$31,3,FALSE)-1,IF(E41="ND12,5",VLOOKUP(D42,Datenblatt!$A$2:$C$31,3,FALSE)-0.5,VLOOKUP(D42,Datenblatt!$A$2:$C$31,3,FALSE))))</f>
        <v/>
      </c>
      <c r="N42" s="211" t="str">
        <f t="shared" si="2"/>
        <v/>
      </c>
      <c r="O42" s="211" t="str">
        <f t="shared" si="3"/>
        <v/>
      </c>
      <c r="P42" s="186">
        <f>IF(D42="",IF($P$47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$47="Freizeit",(-M42-J42+IF(ISNUMBER(N42),(N42*1.5),0)+IF(ISNUMBER(O42),(O42*2),0)+IF(OR(E42="ND",E42="ND12,5"),2,0)),(-M42-J42)),IF($P$47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103" t="str">
        <f>IF(D42="","",VLOOKUP(D42,Datenblatt!$A$2:$D$31,4,FALSE))</f>
        <v/>
      </c>
      <c r="R42" s="104" t="str">
        <f>IF(E42="","",VLOOKUP(E42,Datenblatt!$E$2:$G$28,2,FALSE))</f>
        <v/>
      </c>
      <c r="S42" s="107"/>
      <c r="T42" s="111">
        <f t="shared" si="5"/>
        <v>0</v>
      </c>
      <c r="U42" s="114">
        <f t="array" ref="U42">IF(T41=0,0,IF(AND((ROW(T41)=MATCH(TRUE,($T$1:$T$43)&gt;0,0)),(D41="ND")),IF(T41&lt;3,T41,3),IF(AND(ROW(T41)=MATCH(TRUE,($T$1:$T$43)&gt;0,0),D41="ND12,5"),IF(T41&lt;2.5,T41,2.5),IF(D41="ND12,5",2.5,(T41-V41-W41)))))</f>
        <v>0</v>
      </c>
      <c r="V42" s="112">
        <f t="array" ref="V42">IF(T42=0,0,IF(AND((ROW(T42)=MATCH(TRUE,($T$1:$T$43)&gt;0,0)),(D42="ND")),IF(AND(T42&gt;11,T42&lt;=25),T42-11,0),IF(AND(ROW(T42)=MATCH(TRUE,($T$1:$T$43)&gt;0,0),D42="ND12,5"),IF(AND(T42&gt;10.5,T42&lt;=12.5),T42-10.5,0),IF(D42="ND12,5",2,IF(T42&lt;14,T42,14)))))</f>
        <v>0</v>
      </c>
      <c r="W42" s="112">
        <f t="array" ref="W42">IF(T42=0,0,IF(AND((ROW(T42)=MATCH(TRUE,($T$1:$T$43)&gt;0,0)),(D42="ND")),IF(AND(T42&gt;3,T42&lt;11),T42-3,IF(T42&gt;=11,8,0)),IF(AND((ROW(T42)=MATCH(TRUE,($T$1:$T$43)&gt;0,0)),(D42="ND12,5")),IF(AND(T42&gt;2.5,T42&lt;10.5),T42-2.5,IF(T42&gt;=10.5,8,0)),IF(D42="ND12,5",8,IF(AND(T42&gt;14,T42&lt;22),(T42-V42),IF(T42&gt;=22,8,0))))))</f>
        <v>0</v>
      </c>
      <c r="X42" s="254">
        <f t="array" ref="X42">IF(T42=0,0,IF((AND((ROW(T42)=MATCH(TRUE,($T$1:$T$43)&gt;0,0)))),IF(W42&gt;=6,W42-6,0),IF(W42&gt;=2,2,W42)))</f>
        <v>0</v>
      </c>
      <c r="Y42" s="254">
        <f t="array" ref="Y42">IF(T41=0,0,(IF((AND((ROW(T41)=MATCH(TRUE,($T$1:$T$43)&gt;0,0)))),IF(W41&gt;=6,6,W41),IF(W41&gt;=2,W41-2,0))))</f>
        <v>0</v>
      </c>
      <c r="Z42" s="111" t="str">
        <f t="shared" si="6"/>
        <v/>
      </c>
      <c r="AA42" s="214">
        <f>IF(E41="ND",IF(ISERROR(MATCH(D42,Datenblatt!$L$2:$L$18,0)),3,2),IF(E41="ND12,5",IF(ISERROR(MATCH(D42,Datenblatt!$L$2:$L$18,0)),2.5,2),0))</f>
        <v>0</v>
      </c>
      <c r="AB42" s="214">
        <f>IF((IF(E42="ND",14-IF(D42="",0,VLOOKUP(D42,Datenblatt!$L$2:$M$30,2,FALSE)),IF(E42="ND12,5",2,0)))&lt;0,0,(IF(E42="ND",14-IF(D42="",0,VLOOKUP(D42,Datenblatt!$L$2:$M$30,2,FALSE)),IF(E42="ND12,5",2,0))))</f>
        <v>0</v>
      </c>
      <c r="AC42" s="214">
        <f t="shared" si="7"/>
        <v>0</v>
      </c>
      <c r="AD42" s="214">
        <f t="shared" si="8"/>
        <v>0</v>
      </c>
      <c r="AE42" s="214">
        <f t="shared" si="9"/>
        <v>0</v>
      </c>
      <c r="AF42" s="112">
        <f t="shared" si="10"/>
        <v>0</v>
      </c>
      <c r="AG42" s="112">
        <f t="shared" si="11"/>
        <v>0</v>
      </c>
      <c r="AH42" s="112">
        <f>IF(E42="",0,VLOOKUP(E42,Datenblatt!$E$2:$G$28,3,FALSE))</f>
        <v>0</v>
      </c>
    </row>
    <row r="43" spans="1:34" ht="13" customHeight="1">
      <c r="A43" s="89" t="str">
        <f>IF(ISERROR(VLOOKUP(C43,Datenblatt!$B$84:$B$97,1,FALSE)),"","Ft")</f>
        <v/>
      </c>
      <c r="B43" s="159">
        <f t="shared" si="0"/>
        <v>45473</v>
      </c>
      <c r="C43" s="160">
        <f>C42+1</f>
        <v>45473</v>
      </c>
      <c r="D43" s="67"/>
      <c r="E43" s="67"/>
      <c r="F43" s="68"/>
      <c r="G43" s="69"/>
      <c r="H43" s="68"/>
      <c r="I43" s="68"/>
      <c r="J43" s="99"/>
      <c r="K43" s="21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209" t="str">
        <f>IF(D43="","",IF(OR(E42="ND",E42="ND12,5",E43="ND12,5",E43="ZA",E43="NDG",E43="RG",E43="WR"),0+AE43,IF(OR(D43="U",D43="SU",D43="PK",D43="K",D43="KA"),VLOOKUP(D43,Datenblatt!$A$2:$E$31,2,FALSE),VLOOKUP(D43,Datenblatt!$A$2:$C$31,2,FALSE)-J43-L44)))</f>
        <v/>
      </c>
      <c r="M43" s="210" t="str">
        <f>IF(D43="","",IF(E42="ND",VLOOKUP(D43,Datenblatt!$A$2:$C$31,3,FALSE)-1,IF(E42="ND12,5",VLOOKUP(D43,Datenblatt!$A$2:$C$31,3,FALSE)-0.5,VLOOKUP(D43,Datenblatt!$A$2:$C$31,3,FALSE)-M44)))</f>
        <v/>
      </c>
      <c r="N43" s="211" t="str">
        <f t="shared" si="2"/>
        <v/>
      </c>
      <c r="O43" s="211">
        <f t="shared" si="3"/>
        <v>0</v>
      </c>
      <c r="P43" s="186">
        <f>IF(D43="",IF($P$47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$47="Freizeit",(-M43-J43+IF(ISNUMBER(N43),(N43*1.5),0)+IF(ISNUMBER(O43),(O43*2),0)+IF(OR(E43="ND",E43="ND12,5"),2,0)),(-M43-J43)),IF($P$47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103" t="str">
        <f>IF(D43="","",VLOOKUP(D43,Datenblatt!$A$2:$D$31,4,FALSE))</f>
        <v/>
      </c>
      <c r="R43" s="104" t="str">
        <f>IF(E43="","",VLOOKUP(E43,Datenblatt!$E$2:$G$28,2,FALSE))</f>
        <v/>
      </c>
      <c r="S43" s="107"/>
      <c r="T43" s="111">
        <f t="shared" si="5"/>
        <v>0</v>
      </c>
      <c r="U43" s="114">
        <f t="array" ref="U43">IF(T42=0,0,IF(AND((ROW(T42)=MATCH(TRUE,($T$1:$T$43)&gt;0,0)),(D42="ND")),IF(T42&lt;3,T42,3),IF(AND(ROW(T42)=MATCH(TRUE,($T$1:$T$43)&gt;0,0),D42="ND12,5"),IF(T42&lt;2.5,T42,2.5),IF(D42="ND12,5",2.5,(T42-V42-W42)))))</f>
        <v>0</v>
      </c>
      <c r="V43" s="112">
        <f t="array" ref="V43">IF(T43=0,0,IF(AND((ROW(T43)=MATCH(TRUE,($T$1:$T$43)&gt;0,0)),(D43="ND")),IF(T43&gt;2,T43-2,0),IF(AND(ROW(T43)=MATCH(TRUE,($T$1:$T$43)&gt;0,0),D43="ND12,5"),IF(T43&gt;2,T43-2,0),IF(D43="ND12,5",IF(T43&gt;2,T43-2,0),(IF(T43&lt;14,T43,14))))))</f>
        <v>0</v>
      </c>
      <c r="W43" s="112">
        <f t="array" ref="W43">IF(T43=0,0,IF(AND((ROW(T43)=MATCH(TRUE,($T$1:$T$43)&gt;0,0)),(D43="ND")),IF(T43&gt;=2,2,T43),IF(AND((ROW(T43)=MATCH(TRUE,($T$1:$T$43)&gt;0,0)),(D43="ND12,5")),IF(T43&gt;=2,2,T43),IF(D43="ND12,5",2,IF(AND(T43&gt;14,T43&lt;22),(T43-V43),IF(T43&gt;=22,8,0))))))</f>
        <v>0</v>
      </c>
      <c r="X43" s="254">
        <f t="array" ref="X43">IF(T43=0,0,IF((AND((ROW(T43)=MATCH(TRUE,($T$1:$T$43)&gt;0,0)))),IF(W43&gt;=0,W43-0,0),IF(W43&gt;=2,2,W43)))</f>
        <v>0</v>
      </c>
      <c r="Y43" s="254">
        <f t="array" ref="Y43">IF(T42=0,0,(IF((AND((ROW(T42)=MATCH(TRUE,($T$1:$T$43)&gt;0,0)))),IF(W42&gt;=6,6,W42),IF(W42&gt;=2,W42-2,0))))</f>
        <v>0</v>
      </c>
      <c r="Z43" s="111" t="str">
        <f t="shared" si="6"/>
        <v/>
      </c>
      <c r="AA43" s="214">
        <f>IF(E42="ND",IF(ISERROR(MATCH(D43,Datenblatt!$L$2:$L$18,0)),3,2),IF(E42="ND12,5",IF(ISERROR(MATCH(D43,Datenblatt!$L$2:$L$18,0)),2.5,2),0))</f>
        <v>0</v>
      </c>
      <c r="AB43" s="214">
        <f>IF((IF(E43="ND",14-IF(D43="",0,VLOOKUP(D43,Datenblatt!$L$2:$M$30,2,FALSE)),IF(E43="ND12,5",2,0)))&lt;0,0,(IF(E43="ND",14-IF(D43="",0,VLOOKUP(D43,Datenblatt!$L$2:$M$30,2,FALSE)),IF(E43="ND12,5",2,0))))</f>
        <v>0</v>
      </c>
      <c r="AC43" s="214">
        <f t="shared" si="7"/>
        <v>0</v>
      </c>
      <c r="AD43" s="214">
        <f t="shared" si="8"/>
        <v>0</v>
      </c>
      <c r="AE43" s="214">
        <f t="shared" si="9"/>
        <v>0</v>
      </c>
      <c r="AF43" s="112">
        <f t="shared" si="10"/>
        <v>0</v>
      </c>
      <c r="AG43" s="112">
        <f t="shared" si="11"/>
        <v>0</v>
      </c>
      <c r="AH43" s="112">
        <f>IF(E43="",0,VLOOKUP(E43,Datenblatt!$E$2:$G$28,3,FALSE))</f>
        <v>0</v>
      </c>
    </row>
    <row r="44" spans="1:34" ht="13" customHeight="1" thickBot="1">
      <c r="A44" s="227" t="str">
        <f>IF(ISERROR(VLOOKUP(C44,Datenblatt!$B$84:$B$97,1,FALSE)),"","Ft")</f>
        <v/>
      </c>
      <c r="B44" s="153"/>
      <c r="C44" s="150"/>
      <c r="D44" s="150"/>
      <c r="E44" s="150"/>
      <c r="F44" s="150"/>
      <c r="G44" s="150"/>
      <c r="H44" s="150"/>
      <c r="I44" s="150"/>
      <c r="J44" s="154">
        <f>SUM(J14:J43)</f>
        <v>0</v>
      </c>
      <c r="K44" s="213">
        <f>SUM(K14:K43)</f>
        <v>0</v>
      </c>
      <c r="L44" s="172" t="str">
        <f>IF(D43="ND",9,IF(D43="ND12,5",8.5,"0"))</f>
        <v>0</v>
      </c>
      <c r="M44" s="172" t="str">
        <f>IF(D43="ND",9,IF(D43="ND12,5",8.5,"0"))</f>
        <v>0</v>
      </c>
      <c r="N44" s="219">
        <f t="shared" ref="N44:O44" si="12">SUM(N14:N43)</f>
        <v>0</v>
      </c>
      <c r="O44" s="219">
        <f t="shared" si="12"/>
        <v>0</v>
      </c>
      <c r="P44" s="197">
        <f>SUM(P14:P43)</f>
        <v>0</v>
      </c>
      <c r="Q44" s="175"/>
      <c r="R44" s="156"/>
      <c r="S44" s="157"/>
      <c r="T44" s="155"/>
      <c r="U44" s="115"/>
      <c r="V44" s="116"/>
      <c r="W44" s="116"/>
      <c r="X44" s="116"/>
      <c r="Y44" s="116"/>
      <c r="Z44" s="155"/>
      <c r="AA44" s="215"/>
      <c r="AB44" s="215"/>
      <c r="AC44" s="215"/>
      <c r="AD44" s="215"/>
      <c r="AE44" s="215"/>
      <c r="AF44" s="215"/>
      <c r="AG44" s="215"/>
      <c r="AH44" s="215"/>
    </row>
    <row r="45" spans="1:34" s="80" customFormat="1" ht="0.75" customHeight="1" thickBot="1">
      <c r="A45" s="470"/>
      <c r="B45" s="70"/>
      <c r="C45" s="71"/>
      <c r="D45" s="72"/>
      <c r="E45" s="102"/>
      <c r="F45" s="73"/>
      <c r="G45" s="74"/>
      <c r="H45" s="75"/>
      <c r="I45" s="74"/>
      <c r="J45" s="76"/>
      <c r="K45" s="94"/>
      <c r="L45" s="75"/>
      <c r="M45" s="77"/>
      <c r="N45" s="77"/>
      <c r="O45" s="78"/>
      <c r="P45" s="79"/>
      <c r="Q45" s="74"/>
      <c r="R45" s="70"/>
      <c r="T45" s="117"/>
      <c r="U45" s="117"/>
      <c r="V45" s="117"/>
      <c r="W45" s="117"/>
      <c r="X45" s="117"/>
      <c r="Y45" s="117"/>
      <c r="Z45" s="187"/>
      <c r="AA45" s="216"/>
      <c r="AB45" s="216"/>
      <c r="AC45" s="216"/>
      <c r="AD45" s="216"/>
      <c r="AE45" s="216"/>
      <c r="AF45" s="118"/>
      <c r="AG45" s="118"/>
      <c r="AH45" s="118"/>
    </row>
    <row r="46" spans="1:34" s="66" customFormat="1">
      <c r="A46" s="227"/>
      <c r="B46" s="168" t="s">
        <v>147</v>
      </c>
      <c r="C46" s="168"/>
      <c r="D46" s="59"/>
      <c r="E46" s="59"/>
      <c r="F46" s="56"/>
      <c r="G46" s="56"/>
      <c r="H46" s="56"/>
      <c r="I46" s="251"/>
      <c r="J46" s="251"/>
      <c r="K46" s="251"/>
      <c r="L46" s="542" t="s">
        <v>289</v>
      </c>
      <c r="M46" s="542"/>
      <c r="N46" s="542"/>
      <c r="O46" s="543"/>
      <c r="P46" s="201" t="s">
        <v>146</v>
      </c>
      <c r="Q46" s="348">
        <f>IF($P$46="ja",SUMPRODUCT((WEEKDAY($B$14:$B$43,2)=1)*2),0)</f>
        <v>0</v>
      </c>
      <c r="R46" s="158"/>
      <c r="S46" s="171"/>
      <c r="T46" s="118"/>
      <c r="U46" s="118"/>
      <c r="V46" s="118"/>
      <c r="W46" s="118"/>
      <c r="X46" s="118"/>
      <c r="Y46" s="118"/>
      <c r="Z46" s="188"/>
      <c r="AA46" s="217"/>
      <c r="AB46" s="217"/>
      <c r="AC46" s="217"/>
      <c r="AD46" s="217"/>
      <c r="AE46" s="217"/>
      <c r="AF46" s="243"/>
      <c r="AG46" s="243"/>
      <c r="AH46" s="243"/>
    </row>
    <row r="47" spans="1:34" s="66" customFormat="1">
      <c r="A47" s="227"/>
      <c r="B47" s="191" t="str">
        <f>"Verrechnung von Sonderzahlungen, Überstunden, Nachtgutstunden und Nachtdiensten erfolgt im Folgemonat"&amp;" "&amp;Start!$B$21</f>
        <v>Verrechnung von Sonderzahlungen, Überstunden, Nachtgutstunden und Nachtdiensten erfolgt im Folgemonat Juli</v>
      </c>
      <c r="C47" s="168"/>
      <c r="D47" s="59"/>
      <c r="E47" s="59"/>
      <c r="F47" s="56"/>
      <c r="G47" s="56"/>
      <c r="H47" s="82"/>
      <c r="I47" s="82"/>
      <c r="J47" s="83"/>
      <c r="K47" s="83"/>
      <c r="L47" s="538" t="s">
        <v>290</v>
      </c>
      <c r="M47" s="538"/>
      <c r="N47" s="538"/>
      <c r="O47" s="539"/>
      <c r="P47" s="204" t="s">
        <v>292</v>
      </c>
      <c r="Q47" s="347" t="str">
        <f>IF($P$47="Freizeit","       als Gutstunden abgerechnet","       im Folgemonat ausbezahlt")</f>
        <v xml:space="preserve">       als Gutstunden abgerechnet</v>
      </c>
      <c r="R47" s="203"/>
      <c r="S47" s="192"/>
      <c r="T47" s="118"/>
      <c r="U47" s="118"/>
      <c r="V47" s="118"/>
      <c r="W47" s="118"/>
      <c r="X47" s="118"/>
      <c r="Y47" s="118"/>
      <c r="Z47" s="188"/>
      <c r="AA47" s="217"/>
      <c r="AB47" s="217"/>
      <c r="AC47" s="217"/>
      <c r="AD47" s="217"/>
      <c r="AE47" s="217"/>
      <c r="AF47" s="118"/>
      <c r="AG47" s="118"/>
      <c r="AH47" s="301"/>
    </row>
    <row r="48" spans="1:34" s="66" customFormat="1" ht="15" thickBot="1">
      <c r="A48" s="227"/>
      <c r="B48" s="168"/>
      <c r="C48" s="168"/>
      <c r="D48" s="59"/>
      <c r="E48" s="59"/>
      <c r="F48" s="56"/>
      <c r="G48" s="56"/>
      <c r="H48" s="82"/>
      <c r="I48" s="82"/>
      <c r="J48" s="83"/>
      <c r="K48" s="83"/>
      <c r="L48" s="88"/>
      <c r="M48" s="88"/>
      <c r="N48" s="59"/>
      <c r="O48" s="59"/>
      <c r="P48" s="59"/>
      <c r="S48" s="56"/>
      <c r="T48" s="118"/>
      <c r="U48" s="118"/>
      <c r="V48" s="118"/>
      <c r="W48" s="118"/>
      <c r="X48" s="118"/>
      <c r="Y48" s="118"/>
      <c r="Z48" s="188"/>
      <c r="AA48" s="217"/>
      <c r="AB48" s="217"/>
      <c r="AC48" s="217"/>
      <c r="AD48" s="217"/>
      <c r="AE48" s="217"/>
      <c r="AF48" s="118"/>
      <c r="AG48" s="118"/>
      <c r="AH48" s="301"/>
    </row>
    <row r="49" spans="1:34" s="66" customFormat="1" ht="13" hidden="1" customHeight="1">
      <c r="A49" s="227"/>
      <c r="B49" s="81"/>
      <c r="C49" s="81"/>
      <c r="D49" s="56"/>
      <c r="E49" s="56"/>
      <c r="F49" s="56"/>
      <c r="G49" s="56"/>
      <c r="H49" s="82"/>
      <c r="I49" s="82"/>
      <c r="J49" s="83"/>
      <c r="K49" s="83"/>
      <c r="L49" s="88"/>
      <c r="M49" s="88"/>
      <c r="N49" s="59"/>
      <c r="O49" s="59"/>
      <c r="P49" s="59"/>
      <c r="S49" s="56"/>
      <c r="T49" s="118"/>
      <c r="U49" s="118"/>
      <c r="V49" s="118"/>
      <c r="W49" s="118"/>
      <c r="X49" s="118"/>
      <c r="Y49" s="118"/>
      <c r="Z49" s="188"/>
      <c r="AA49" s="217"/>
      <c r="AB49" s="217"/>
      <c r="AC49" s="217"/>
      <c r="AD49" s="217"/>
      <c r="AE49" s="217"/>
      <c r="AF49" s="118"/>
      <c r="AG49" s="118"/>
      <c r="AH49" s="301"/>
    </row>
    <row r="50" spans="1:34" s="59" customFormat="1" ht="13" customHeight="1">
      <c r="A50" s="471"/>
      <c r="B50" s="452" t="s">
        <v>248</v>
      </c>
      <c r="C50" s="608" t="s">
        <v>249</v>
      </c>
      <c r="D50" s="608"/>
      <c r="E50" s="453" t="s">
        <v>412</v>
      </c>
      <c r="F50" s="272"/>
      <c r="G50" s="317" t="s">
        <v>83</v>
      </c>
      <c r="H50" s="318"/>
      <c r="I50" s="322"/>
      <c r="J50" s="322"/>
      <c r="K50" s="322"/>
      <c r="L50" s="319">
        <f>$Q$6</f>
        <v>5365.31</v>
      </c>
      <c r="N50" s="612" t="str">
        <f>"Monatsprofil"&amp;" "&amp;Start!$B$20</f>
        <v>Monatsprofil Juni</v>
      </c>
      <c r="O50" s="613"/>
      <c r="P50" s="614"/>
      <c r="T50" s="242"/>
      <c r="U50" s="242"/>
      <c r="V50" s="242"/>
      <c r="W50" s="242"/>
      <c r="X50" s="242"/>
      <c r="Y50" s="242"/>
      <c r="Z50" s="188"/>
      <c r="AA50" s="217"/>
      <c r="AB50" s="217"/>
      <c r="AC50" s="217"/>
      <c r="AD50" s="217"/>
      <c r="AE50" s="217"/>
      <c r="AF50" s="242"/>
      <c r="AG50" s="242"/>
      <c r="AH50" s="302"/>
    </row>
    <row r="51" spans="1:34" s="89" customFormat="1" ht="13" customHeight="1">
      <c r="A51" s="227"/>
      <c r="B51" s="355">
        <f>COUNTIF($D$14:$E$43,"U")-COUNTIFS($D$14:$D$43,"U",$E$14:$E$43,"K")-COUNTIFS($D$14:$D$43,"U",$E$14:$E$43,"PK")</f>
        <v>0</v>
      </c>
      <c r="C51" s="454" t="s">
        <v>18</v>
      </c>
      <c r="D51" s="455">
        <f>SUMIFS($P$14:$P$43,$D$14:$D$43,"U")+SUMIFS($P$14:$P$43,$E$14:$E$43,"U")</f>
        <v>0</v>
      </c>
      <c r="E51" s="456"/>
      <c r="F51" s="316"/>
      <c r="G51" s="341" t="s">
        <v>354</v>
      </c>
      <c r="H51" s="342"/>
      <c r="I51" s="343"/>
      <c r="J51" s="343"/>
      <c r="K51" s="343"/>
      <c r="L51" s="344">
        <f>IF(OR(Start!$D$8=Gehalt!$K$37,Start!$D$8=Gehalt!$K$39,Start!$D$8=Gehalt!$K$41),Gehalt!$C$29,0)</f>
        <v>0</v>
      </c>
      <c r="N51" s="615"/>
      <c r="O51" s="616"/>
      <c r="P51" s="617"/>
      <c r="T51" s="278" t="s">
        <v>398</v>
      </c>
      <c r="U51" s="119">
        <f>SUMPRODUCT(($U$14:$U$43)*(ISNUMBER(FIND("Ft",$A$14:$A$43))))+SUMPRODUCT((($U$14:$U$43)*1)*(WEEKDAY($B$14:$B$43,2)=7))-SUMPRODUCT((($U$14:$U$43)*1)*(WEEKDAY($B$14:$B$43,2)=7)*(ISNUMBER(FIND("Ft",$A$14:$A$43))))</f>
        <v>0</v>
      </c>
      <c r="V51" s="119">
        <f>SUMPRODUCT(($V$14:$V$43)*(ISNUMBER(FIND("Ft",$A$14:$A$43))))+SUMPRODUCT((($V$14:$V$43)*1)*(WEEKDAY($B$14:$B$43,2)=7))-SUMPRODUCT((($V$14:$V$43)*1)*(WEEKDAY($B$14:$B$43,2)=7)*(ISNUMBER(FIND("Ft",$A$14:$A$43))))</f>
        <v>0</v>
      </c>
      <c r="W51" s="119">
        <f>SUM($W$14:$W$43)</f>
        <v>0</v>
      </c>
      <c r="X51" s="255"/>
      <c r="Y51" s="256"/>
      <c r="Z51" s="278" t="s">
        <v>398</v>
      </c>
      <c r="AA51" s="214">
        <f>SUMPRODUCT(($AA$14:$AA$43)*(ISNUMBER(FIND("Ft",$A$14:$A$43))))+SUMPRODUCT((($AA$14:$AA$43)*1)*(WEEKDAY($B$14:$B$43,2)=7))-SUMPRODUCT((($AA$14:$AA$43)*1)*(WEEKDAY($B$14:$B$43,2)=7)*(ISNUMBER(FIND("Ft",$A$14:$A$43))))</f>
        <v>0</v>
      </c>
      <c r="AB51" s="214">
        <f>SUMPRODUCT(($AB$14:$AB$43)*(ISNUMBER(FIND("Ft",$A$14:$A$43))))+SUMPRODUCT((($AB$14:$AB$43)*1)*(WEEKDAY($B$14:$B$43,2)=7))-SUMPRODUCT((($AB$14:$AB$43)*1)*(WEEKDAY($B$14:$B$43,2)=7)*(ISNUMBER(FIND("Ft",$A$14:$A$43))))</f>
        <v>0</v>
      </c>
      <c r="AC51" s="214">
        <f>SUM($AC$14:$AC$43)</f>
        <v>0</v>
      </c>
      <c r="AD51" s="214">
        <f>SUM($AD$14:$AD$43)</f>
        <v>0</v>
      </c>
      <c r="AE51" s="217"/>
      <c r="AF51" s="188"/>
      <c r="AG51" s="278" t="s">
        <v>398</v>
      </c>
      <c r="AH51" s="214">
        <f>SUMPRODUCT(($AH$14:$AH$43)*(ISNUMBER(FIND("Ft",$A$14:$A$43))))+SUMPRODUCT((($AH$14:$AH$43)*1)*(WEEKDAY($B$14:$B$43,2)=7))-SUMPRODUCT((($AH$14:$AH$43)*1)*(WEEKDAY($B$14:$B$43,2)=7)*(ISNUMBER(FIND("Ft",$A$14:$A$43))))</f>
        <v>0</v>
      </c>
    </row>
    <row r="52" spans="1:34" s="89" customFormat="1" ht="13" customHeight="1">
      <c r="A52" s="227"/>
      <c r="B52" s="355">
        <f>COUNTIF($D$14:$E$43,"ZA")-COUNTIFS($D$14:$D$43,"ZA",$E$14:$E$43,"K")-COUNTIFS($D$14:$D$43,"ZA",$E$14:$E$43,"PK")</f>
        <v>0</v>
      </c>
      <c r="C52" s="454" t="s">
        <v>21</v>
      </c>
      <c r="D52" s="457">
        <f>SUMIFS($P$14:$P$43,$D$14:$D$43,"ZA")+SUMIFS($P$14:$P$43,$E$14:$E$43,"ZA")-$J$44</f>
        <v>0</v>
      </c>
      <c r="E52" s="458">
        <f>IF($P$47="Freizeit",SUM($N$44*1.5,$O$44*2),0)+$J$54*1.5</f>
        <v>0</v>
      </c>
      <c r="F52" s="272"/>
      <c r="G52" s="323" t="str">
        <f>"9545 Nachtdienstpauschale Gesamt ("&amp;""&amp;Gehalt!$H$25&amp;""&amp;"€/h)"</f>
        <v>9545 Nachtdienstpauschale Gesamt (29,44€/h)</v>
      </c>
      <c r="H52" s="151"/>
      <c r="I52" s="151"/>
      <c r="J52" s="151"/>
      <c r="K52" s="264">
        <f>SUM($AF$14:$AG$43)</f>
        <v>0</v>
      </c>
      <c r="L52" s="226">
        <f>$K$52*Gehalt!$H$25</f>
        <v>0</v>
      </c>
      <c r="N52" s="540" t="s">
        <v>237</v>
      </c>
      <c r="O52" s="541"/>
      <c r="P52" s="352">
        <f>VLOOKUP($B$8,Datenblatt!$A$100:$I$112,2,FALSE)</f>
        <v>30</v>
      </c>
      <c r="T52" s="279" t="s">
        <v>104</v>
      </c>
      <c r="U52" s="269">
        <f>SUM($U$14:$U$43)-$U$51</f>
        <v>0</v>
      </c>
      <c r="V52" s="269">
        <f>SUM($V$14:$V$43)-$V$51</f>
        <v>0</v>
      </c>
      <c r="W52" s="257"/>
      <c r="X52" s="265"/>
      <c r="Y52" s="256"/>
      <c r="Z52" s="280" t="s">
        <v>104</v>
      </c>
      <c r="AA52" s="214">
        <f>SUM($AA$14:$AA$43)-$AA$51</f>
        <v>0</v>
      </c>
      <c r="AB52" s="214">
        <f>SUM($AB$14:$AB$43)-$AB$51</f>
        <v>0</v>
      </c>
      <c r="AC52" s="260"/>
      <c r="AD52" s="261"/>
      <c r="AE52" s="217"/>
      <c r="AF52" s="188"/>
      <c r="AG52" s="280" t="s">
        <v>104</v>
      </c>
      <c r="AH52" s="214">
        <f>SUM($AH$14:$AH$43)-$AH$51</f>
        <v>0</v>
      </c>
    </row>
    <row r="53" spans="1:34" s="89" customFormat="1" ht="13" customHeight="1">
      <c r="A53" s="227"/>
      <c r="B53" s="355">
        <f>COUNTIF($D$14:$E$43,"RG")-COUNTIFS($D$14:$D$43,"U",$E$14:$E$43,"RG")-COUNTIFS($D$14:$D$43,"RG",$E$14:$E$43,"PK")</f>
        <v>0</v>
      </c>
      <c r="C53" s="359" t="s">
        <v>132</v>
      </c>
      <c r="D53" s="455">
        <f>SUMIFS($P$14:$P$43,$D$14:$D$43,"RG")+SUMIFS($P$14:$P$43,$E$14:$E$43,"RG")</f>
        <v>0</v>
      </c>
      <c r="E53" s="459">
        <f>$Q$46</f>
        <v>0</v>
      </c>
      <c r="G53" s="323" t="str">
        <f>"9547 Sonn- und Feiertagszulage ("&amp;""&amp;Gehalt!$H$26&amp;""&amp;"€/h)"</f>
        <v>9547 Sonn- und Feiertagszulage (18,5€/h)</v>
      </c>
      <c r="H53" s="151"/>
      <c r="I53" s="151"/>
      <c r="J53" s="151"/>
      <c r="K53" s="22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26">
        <f>$K$53*Gehalt!$H$26</f>
        <v>0</v>
      </c>
      <c r="N53" s="540" t="s">
        <v>238</v>
      </c>
      <c r="O53" s="541"/>
      <c r="P53" s="352">
        <f>VLOOKUP($B$8,Datenblatt!$A$100:$I$112,3,FALSE)</f>
        <v>0</v>
      </c>
      <c r="T53" s="277" t="s">
        <v>399</v>
      </c>
      <c r="U53" s="112">
        <f>SUMPRODUCT(($U$14:$U$43)*(ISNUMBER(FIND("Ft",$A$14:$A$43))))+SUMPRODUCT((($U$14:$U$43)*1)*(WEEKDAY($B$14:$B$43,2)=7))-SUMPRODUCT((($U$14:$U$43)*1)*(WEEKDAY($B$14:$B$43,2)=7)*(ISNUMBER(FIND("Ft",$A$14:$A$43))))</f>
        <v>0</v>
      </c>
      <c r="V53" s="112">
        <f>SUMPRODUCT(($V$14:$V$43)*(ISNUMBER(FIND("Ft",$A$14:$A$43))))+SUMPRODUCT((($V$14:$V$43)*1)*(WEEKDAY($B$14:$B$43,2)=7))-SUMPRODUCT((($V$14:$V$43)*1)*(WEEKDAY($B$14:$B$43,2)=7)*(ISNUMBER(FIND("Ft",$A$14:$A$43))))+IF(SUMIFS($V$14:$V$43,$A$14:$A$43,"HFt")&gt;8,8,(SUMIFS($V$14:$V$43,$A$14:$A$43,"HFt")))</f>
        <v>0</v>
      </c>
      <c r="W53" s="270"/>
      <c r="X53" s="112">
        <f>SUMPRODUCT(($X$14:$X$43)*(ISNUMBER(FIND("Ft",$A$14:$A$43))))+SUMPRODUCT((($X$14:$X$43)*1)*(WEEKDAY($B$14:$B$43,2)=7))-SUMPRODUCT((($X$14:$X$43)*1)*(WEEKDAY($B$14:$B$43,2)=7)*(ISNUMBER(FIND("Ft",$A$14:$A$43))))+IF(SUMIFS($X$14:$X$43,$A$14:$A$43,"HFt")&gt;2,2,(SUMIFS($X$14:$X$43,$A$14:$A$43,"HFt")))</f>
        <v>0</v>
      </c>
      <c r="Y53" s="112">
        <f>SUMPRODUCT(($Y$14:$Y$43)*(ISNUMBER(FIND("Ft",$A$14:$A$43))))+SUMPRODUCT((($Y$14:$Y$43)*1)*(WEEKDAY($B$14:$B$43,2)=7))-SUMPRODUCT((($Y$14:$Y$43)*1)*(WEEKDAY($B$14:$B$43,2)=7)*(ISNUMBER(FIND("Ft",$A$14:$A$43))))</f>
        <v>0</v>
      </c>
      <c r="Z53" s="258"/>
      <c r="AA53" s="258"/>
      <c r="AB53" s="258"/>
      <c r="AC53" s="259"/>
      <c r="AD53" s="259"/>
      <c r="AE53" s="188"/>
      <c r="AF53" s="188"/>
      <c r="AG53" s="188"/>
      <c r="AH53" s="302"/>
    </row>
    <row r="54" spans="1:34" s="89" customFormat="1" ht="13" customHeight="1">
      <c r="A54" s="227"/>
      <c r="B54" s="355">
        <f>COUNTIF($D$14:$E$43,"NDG")-COUNTIFS($D$14:$D$43,"NDG",$E$14:$E$43,"K")-COUNTIFS($D$14:$D$43,"NDG",$E$14:$E$43,"PK")</f>
        <v>0</v>
      </c>
      <c r="C54" s="359" t="s">
        <v>131</v>
      </c>
      <c r="D54" s="455">
        <f>SUMIFS($P$14:$P$43,$D$14:$D$43,"NDG")+SUMIFS($P$14:$P$43,$E$14:$E$43,"NDG")</f>
        <v>0</v>
      </c>
      <c r="E54" s="459">
        <f>$N$6*2-COUNTIFS($D$14:$D$43,"ND",$E$14:$E$43,"K")*2-COUNTIFS($D$14:$D$43,"ND12,5",$E$14:$E$43,"K")*2-COUNTIFS($D$14:$D$43,"ND",$E$13:$E$42,"ND")*2-COUNTIFS($D$14:$D$43,"ND12,5",$E$13:$E$42,"ND")*2-COUNTIFS($D$14:$D$43,"ND",$E$13:$E$42,"ND12,5")*2</f>
        <v>0</v>
      </c>
      <c r="G54" s="609" t="s">
        <v>295</v>
      </c>
      <c r="H54" s="610"/>
      <c r="I54" s="611"/>
      <c r="J54" s="390">
        <v>0</v>
      </c>
      <c r="K54" s="225">
        <f>IF($P$47="finanziell",SUM($L$62),0)+$L$66+$L$70-$J$54</f>
        <v>0</v>
      </c>
      <c r="L54" s="226">
        <f>$K$54*$L$60</f>
        <v>0</v>
      </c>
      <c r="M54" s="56"/>
      <c r="N54" s="540" t="s">
        <v>239</v>
      </c>
      <c r="O54" s="541"/>
      <c r="P54" s="352">
        <f>VLOOKUP($B$8,Datenblatt!$A$100:$I$112,4,FALSE)</f>
        <v>10</v>
      </c>
      <c r="Q54" s="56"/>
      <c r="T54" s="242"/>
      <c r="U54" s="242"/>
      <c r="V54" s="242"/>
      <c r="W54" s="188"/>
      <c r="X54" s="188"/>
      <c r="Y54" s="188"/>
      <c r="Z54" s="242"/>
      <c r="AA54" s="242"/>
      <c r="AB54" s="242"/>
      <c r="AC54" s="188"/>
      <c r="AD54" s="188"/>
      <c r="AE54" s="188"/>
      <c r="AF54" s="188"/>
      <c r="AG54" s="188"/>
      <c r="AH54" s="302"/>
    </row>
    <row r="55" spans="1:34" s="89" customFormat="1" ht="13" customHeight="1">
      <c r="A55" s="227"/>
      <c r="B55" s="460"/>
      <c r="C55" s="359" t="s">
        <v>170</v>
      </c>
      <c r="D55" s="455">
        <f>SUMIFS($M$14:$M$43,$D$14:$D$43,"U")</f>
        <v>0</v>
      </c>
      <c r="E55" s="456"/>
      <c r="G55" s="323" t="s">
        <v>227</v>
      </c>
      <c r="H55" s="151"/>
      <c r="I55" s="151"/>
      <c r="J55" s="151"/>
      <c r="K55" s="225">
        <f>IF($P$47="finanziell",SUM($L$63),0)+$L$71+$L$67</f>
        <v>0</v>
      </c>
      <c r="L55" s="226">
        <f>$K$55*$L$61</f>
        <v>0</v>
      </c>
      <c r="M55" s="59"/>
      <c r="N55" s="540" t="s">
        <v>240</v>
      </c>
      <c r="O55" s="541"/>
      <c r="P55" s="352">
        <f>VLOOKUP($B$8,Datenblatt!$A$100:$I$112,5,FALSE)</f>
        <v>20</v>
      </c>
      <c r="T55" s="242"/>
      <c r="U55" s="242"/>
      <c r="V55" s="242"/>
      <c r="W55" s="188"/>
      <c r="X55" s="188"/>
      <c r="Y55" s="188"/>
      <c r="Z55" s="242"/>
      <c r="AA55" s="242"/>
      <c r="AB55" s="242"/>
      <c r="AC55" s="188"/>
      <c r="AD55" s="188"/>
      <c r="AE55" s="188"/>
      <c r="AF55" s="188"/>
      <c r="AG55" s="188"/>
      <c r="AH55" s="302"/>
    </row>
    <row r="56" spans="1:34" s="89" customFormat="1" ht="13" customHeight="1">
      <c r="A56" s="227"/>
      <c r="B56" s="355">
        <f>COUNTIF($D$14:$E$43,"SU")-COUNTIFS($D$14:$D$43,"SU",$E$14:$E$43,"K")-COUNTIFS($D$14:$D$43,"SU",$E$14:$E$43,"PK")</f>
        <v>0</v>
      </c>
      <c r="C56" s="359" t="s">
        <v>172</v>
      </c>
      <c r="D56" s="455">
        <f>SUMIFS($M$14:$M$43,$D$14:$D$43,"SU")</f>
        <v>0</v>
      </c>
      <c r="E56" s="456"/>
      <c r="G56" s="323" t="s">
        <v>285</v>
      </c>
      <c r="H56" s="151"/>
      <c r="I56" s="151"/>
      <c r="J56" s="151"/>
      <c r="K56" s="224">
        <f ca="1">IF(Mai!$P$63-SUM(Start!$E$15:$E$20)*2&lt;=0,0,Mai!$P$63-SUM(Start!$E$15:$E$20)*2)</f>
        <v>0</v>
      </c>
      <c r="L56" s="226">
        <f ca="1">$K$56*(ROUNDDOWN((($Q$6-35)/173*1),2))</f>
        <v>0</v>
      </c>
      <c r="N56" s="540" t="s">
        <v>241</v>
      </c>
      <c r="O56" s="541"/>
      <c r="P56" s="352">
        <f>VLOOKUP($B$8,Datenblatt!$A$100:$I$112,7,FALSE)</f>
        <v>20</v>
      </c>
      <c r="T56" s="242"/>
      <c r="U56" s="242"/>
      <c r="V56" s="242"/>
      <c r="W56" s="188"/>
      <c r="X56" s="188"/>
      <c r="Y56" s="188"/>
      <c r="Z56" s="242"/>
      <c r="AA56" s="242"/>
      <c r="AB56" s="242"/>
      <c r="AC56" s="188"/>
      <c r="AD56" s="188"/>
      <c r="AE56" s="188"/>
      <c r="AF56" s="188"/>
      <c r="AG56" s="188"/>
      <c r="AH56" s="302"/>
    </row>
    <row r="57" spans="1:34" s="89" customFormat="1" ht="13" customHeight="1">
      <c r="A57" s="227"/>
      <c r="B57" s="355">
        <f>COUNTIF($D$14:$E$43,"PK")</f>
        <v>0</v>
      </c>
      <c r="C57" s="359" t="s">
        <v>171</v>
      </c>
      <c r="D57" s="455">
        <f>SUMIFS($M$14:$M$43,$D$14:$D$43,"PK")</f>
        <v>0</v>
      </c>
      <c r="E57" s="456"/>
      <c r="G57" s="391" t="s">
        <v>297</v>
      </c>
      <c r="H57" s="392"/>
      <c r="I57" s="392"/>
      <c r="J57" s="151"/>
      <c r="K57" s="225">
        <f>IF(OR(Start!$D$8=Gehalt!$K$37,Start!$D$8=Gehalt!$K$39,Start!$D$8=Gehalt!$K$41),SUMIFS($M$14:$M$43,$Q$14:$Q$43,"=Tagdienst*",$E$14:$E$43,"&lt;&gt;*")+SUMIFS($AH$14:$AH$43,$R$14:$R$43,"=Tagdienst*"),0)</f>
        <v>0</v>
      </c>
      <c r="L57" s="226">
        <f>$K$57*Gehalt!$C$28</f>
        <v>0</v>
      </c>
      <c r="N57" s="540" t="s">
        <v>236</v>
      </c>
      <c r="O57" s="541"/>
      <c r="P57" s="352">
        <f>VLOOKUP($B$8,Datenblatt!$A$100:$I$112,6,FALSE)</f>
        <v>160</v>
      </c>
      <c r="T57" s="242"/>
      <c r="U57" s="242"/>
      <c r="V57" s="242"/>
      <c r="W57" s="188"/>
      <c r="X57" s="188"/>
      <c r="Y57" s="188"/>
      <c r="Z57" s="242"/>
      <c r="AA57" s="242"/>
      <c r="AB57" s="242"/>
      <c r="AC57" s="188"/>
      <c r="AD57" s="188"/>
      <c r="AE57" s="188"/>
      <c r="AF57" s="188"/>
      <c r="AG57" s="188"/>
      <c r="AH57" s="302"/>
    </row>
    <row r="58" spans="1:34" s="89" customFormat="1" ht="13" customHeight="1">
      <c r="A58" s="227"/>
      <c r="B58" s="355">
        <f>COUNTIF($D$14:$E$43,"K")+COUNTIF($D$14:$E$43,"KA")</f>
        <v>0</v>
      </c>
      <c r="C58" s="359" t="s">
        <v>418</v>
      </c>
      <c r="D58" s="455">
        <f>SUMIFS($M$14:$M$43,$D$14:$D$43,"K")+SUMIFS($M$14:$M$43,$D$14:$D$43,"KA")</f>
        <v>0</v>
      </c>
      <c r="E58" s="456"/>
      <c r="G58" s="323" t="s">
        <v>296</v>
      </c>
      <c r="H58" s="151"/>
      <c r="I58" s="151"/>
      <c r="J58" s="393" t="s">
        <v>146</v>
      </c>
      <c r="K58" s="225"/>
      <c r="L58" s="226">
        <f>IF($J$58="ja",Gehalt!$C$27*2,0)</f>
        <v>0</v>
      </c>
      <c r="N58" s="618" t="str">
        <f>"Stundenkonto Monatsende"&amp;" "&amp;Start!$B$20</f>
        <v>Stundenkonto Monatsende Juni</v>
      </c>
      <c r="O58" s="619"/>
      <c r="P58" s="620"/>
      <c r="T58" s="242"/>
      <c r="U58" s="242"/>
      <c r="V58" s="242"/>
      <c r="W58" s="188"/>
      <c r="X58" s="188"/>
      <c r="Y58" s="188"/>
      <c r="Z58" s="242"/>
      <c r="AA58" s="242"/>
      <c r="AB58" s="242"/>
      <c r="AC58" s="188"/>
      <c r="AD58" s="188"/>
      <c r="AE58" s="188"/>
      <c r="AF58" s="188"/>
      <c r="AG58" s="188"/>
      <c r="AH58" s="302"/>
    </row>
    <row r="59" spans="1:34" s="89" customFormat="1" ht="13" customHeight="1" thickBot="1">
      <c r="A59" s="227"/>
      <c r="B59" s="460"/>
      <c r="C59" s="359" t="s">
        <v>19</v>
      </c>
      <c r="D59" s="455">
        <f>COUNTIF($L$14:$L$43,"n.b.")</f>
        <v>0</v>
      </c>
      <c r="E59" s="456"/>
      <c r="G59" s="229" t="s">
        <v>362</v>
      </c>
      <c r="H59" s="230"/>
      <c r="I59" s="230"/>
      <c r="J59" s="230"/>
      <c r="K59" s="338"/>
      <c r="L59" s="228">
        <f ca="1">SUM(L52:L57)*12%</f>
        <v>0</v>
      </c>
      <c r="N59" s="615"/>
      <c r="O59" s="616"/>
      <c r="P59" s="617"/>
      <c r="T59" s="242"/>
      <c r="U59" s="188"/>
      <c r="V59" s="188"/>
      <c r="W59" s="188"/>
      <c r="X59" s="188"/>
      <c r="Y59" s="188"/>
      <c r="Z59" s="242"/>
      <c r="AA59" s="188"/>
      <c r="AB59" s="188"/>
      <c r="AC59" s="188"/>
      <c r="AD59" s="188"/>
      <c r="AE59" s="188"/>
      <c r="AF59" s="188"/>
      <c r="AG59" s="188"/>
      <c r="AH59" s="302"/>
    </row>
    <row r="60" spans="1:34" s="89" customFormat="1" ht="13" customHeight="1">
      <c r="A60" s="227"/>
      <c r="B60" s="355">
        <f>COUNTIF($D$14:$E$43,"DV")</f>
        <v>0</v>
      </c>
      <c r="C60" s="359" t="s">
        <v>111</v>
      </c>
      <c r="D60" s="455">
        <f>SUMIFS($P$14:$P$43,$D$14:$D$43,"DV")+SUMIFS($P$14:$P$43,$E$14:$E$43,"DV")</f>
        <v>0</v>
      </c>
      <c r="E60" s="456"/>
      <c r="G60" s="238" t="s">
        <v>298</v>
      </c>
      <c r="H60" s="239"/>
      <c r="I60" s="240"/>
      <c r="J60" s="240"/>
      <c r="K60" s="240"/>
      <c r="L60" s="241">
        <f>IF($Q$6="",0,ROUNDDOWN((($Q$6-35)/173*1.5),2))</f>
        <v>46.21</v>
      </c>
      <c r="N60" s="540" t="s">
        <v>234</v>
      </c>
      <c r="O60" s="541"/>
      <c r="P60" s="352">
        <f>Start!$C$30+SUM(Jänner:Juni!$D$51)</f>
        <v>0</v>
      </c>
      <c r="T60" s="244"/>
      <c r="U60" s="188"/>
      <c r="V60" s="188"/>
      <c r="W60" s="188"/>
      <c r="X60" s="188"/>
      <c r="Y60" s="188"/>
      <c r="Z60" s="244"/>
      <c r="AA60" s="188"/>
      <c r="AB60" s="188"/>
      <c r="AC60" s="188"/>
      <c r="AD60" s="188"/>
      <c r="AE60" s="188"/>
      <c r="AF60" s="188"/>
      <c r="AG60" s="188"/>
      <c r="AH60" s="302"/>
    </row>
    <row r="61" spans="1:34" s="89" customFormat="1" ht="13" customHeight="1">
      <c r="A61" s="227"/>
      <c r="B61" s="355">
        <f>COUNTIF($D$14:$E$43,"WR")</f>
        <v>0</v>
      </c>
      <c r="C61" s="359" t="s">
        <v>126</v>
      </c>
      <c r="D61" s="466"/>
      <c r="E61" s="456"/>
      <c r="G61" s="360" t="s">
        <v>400</v>
      </c>
      <c r="H61" s="358"/>
      <c r="I61" s="357"/>
      <c r="J61" s="357"/>
      <c r="K61" s="357"/>
      <c r="L61" s="356">
        <f>IF($Q$6="",0,ROUNDDOWN((($Q$6-35)/173*2),2))</f>
        <v>61.62</v>
      </c>
      <c r="N61" s="540" t="s">
        <v>235</v>
      </c>
      <c r="O61" s="541"/>
      <c r="P61" s="353">
        <f>Start!$C$31+SUM(Jänner:Juni!$D$52)+SUM(Jänner:Juni!$E$52)</f>
        <v>0</v>
      </c>
      <c r="T61" s="244"/>
      <c r="U61" s="188"/>
      <c r="V61" s="188"/>
      <c r="W61" s="188"/>
      <c r="X61" s="188"/>
      <c r="Y61" s="188"/>
      <c r="Z61" s="244"/>
      <c r="AA61" s="188"/>
      <c r="AB61" s="188"/>
      <c r="AC61" s="188"/>
      <c r="AD61" s="188"/>
      <c r="AE61" s="188"/>
      <c r="AF61" s="188"/>
      <c r="AG61" s="188"/>
      <c r="AH61" s="302"/>
    </row>
    <row r="62" spans="1:34" s="59" customFormat="1" ht="13" customHeight="1">
      <c r="A62" s="471"/>
      <c r="B62" s="478"/>
      <c r="C62" s="478"/>
      <c r="D62" s="478"/>
      <c r="E62" s="478"/>
      <c r="G62" s="374" t="s">
        <v>392</v>
      </c>
      <c r="H62" s="375"/>
      <c r="I62" s="125"/>
      <c r="J62" s="125"/>
      <c r="K62" s="389"/>
      <c r="L62" s="376">
        <f>SUM($N$14:$N$43)</f>
        <v>0</v>
      </c>
      <c r="M62" s="89"/>
      <c r="N62" s="540" t="s">
        <v>148</v>
      </c>
      <c r="O62" s="541"/>
      <c r="P62" s="352">
        <f>Start!$C$32+SUM(Jänner:Juni!$D$53)+SUM(Jänner:Juni!$E$53)</f>
        <v>0</v>
      </c>
      <c r="Q62" s="89"/>
      <c r="T62" s="244"/>
      <c r="U62" s="242"/>
      <c r="V62" s="242"/>
      <c r="W62" s="242"/>
      <c r="X62" s="242"/>
      <c r="Y62" s="242"/>
      <c r="Z62" s="244"/>
      <c r="AA62" s="242"/>
      <c r="AB62" s="242"/>
      <c r="AC62" s="242"/>
      <c r="AD62" s="242"/>
      <c r="AE62" s="242"/>
      <c r="AF62" s="242"/>
      <c r="AG62" s="242"/>
      <c r="AH62" s="302"/>
    </row>
    <row r="63" spans="1:34" s="59" customFormat="1" ht="13" customHeight="1">
      <c r="A63" s="471"/>
      <c r="G63" s="374" t="s">
        <v>102</v>
      </c>
      <c r="H63" s="375"/>
      <c r="I63" s="125"/>
      <c r="J63" s="125"/>
      <c r="K63" s="125"/>
      <c r="L63" s="376">
        <f>SUM($O$14:$O$43)</f>
        <v>0</v>
      </c>
      <c r="M63" s="89"/>
      <c r="N63" s="544" t="s">
        <v>166</v>
      </c>
      <c r="O63" s="545"/>
      <c r="P63" s="354">
        <f ca="1">Start!$C$33+SUM(Jänner:Juni!$D$54)+SUM(Jänner:Juni!$E$54)-SUM(Jänner:Juni!$K$56)</f>
        <v>0</v>
      </c>
      <c r="Q63" s="89"/>
      <c r="T63" s="244"/>
      <c r="U63" s="242"/>
      <c r="V63" s="242"/>
      <c r="W63" s="242"/>
      <c r="X63" s="242"/>
      <c r="Y63" s="242"/>
      <c r="Z63" s="244"/>
      <c r="AA63" s="242"/>
      <c r="AB63" s="242"/>
      <c r="AC63" s="242"/>
      <c r="AD63" s="242"/>
      <c r="AE63" s="242"/>
      <c r="AF63" s="242"/>
      <c r="AG63" s="242"/>
      <c r="AH63" s="302"/>
    </row>
    <row r="64" spans="1:34" s="59" customFormat="1" ht="13" customHeight="1">
      <c r="A64" s="471"/>
      <c r="E64" s="140"/>
      <c r="G64" s="374" t="s">
        <v>98</v>
      </c>
      <c r="H64" s="375"/>
      <c r="I64" s="125"/>
      <c r="J64" s="125"/>
      <c r="K64" s="125"/>
      <c r="L64" s="377">
        <f>$L$62*$L$60</f>
        <v>0</v>
      </c>
      <c r="M64" s="89"/>
      <c r="N64" s="546" t="str">
        <f>"Bisheriger Verbrauch"&amp;" "&amp;Start!$D$2</f>
        <v>Bisheriger Verbrauch 2024</v>
      </c>
      <c r="O64" s="547"/>
      <c r="P64" s="548"/>
      <c r="Q64" s="89"/>
      <c r="T64" s="244"/>
      <c r="U64" s="242"/>
      <c r="V64" s="242"/>
      <c r="W64" s="242"/>
      <c r="X64" s="242"/>
      <c r="Y64" s="242"/>
      <c r="Z64" s="244"/>
      <c r="AA64" s="242"/>
      <c r="AB64" s="242"/>
      <c r="AC64" s="242"/>
      <c r="AD64" s="242"/>
      <c r="AE64" s="242"/>
      <c r="AF64" s="242"/>
      <c r="AG64" s="242"/>
      <c r="AH64" s="302"/>
    </row>
    <row r="65" spans="1:34" s="59" customFormat="1" ht="13" customHeight="1">
      <c r="A65" s="471"/>
      <c r="E65" s="140"/>
      <c r="G65" s="267" t="s">
        <v>99</v>
      </c>
      <c r="H65" s="268"/>
      <c r="I65" s="378"/>
      <c r="J65" s="378"/>
      <c r="K65" s="378"/>
      <c r="L65" s="379">
        <f>$L$63*$L$61</f>
        <v>0</v>
      </c>
      <c r="M65" s="89"/>
      <c r="N65" s="549"/>
      <c r="O65" s="550"/>
      <c r="P65" s="551"/>
      <c r="Q65" s="89"/>
      <c r="T65" s="244"/>
      <c r="U65" s="242"/>
      <c r="V65" s="242"/>
      <c r="W65" s="242"/>
      <c r="X65" s="242"/>
      <c r="Y65" s="242"/>
      <c r="Z65" s="244"/>
      <c r="AA65" s="242"/>
      <c r="AB65" s="242"/>
      <c r="AC65" s="242"/>
      <c r="AD65" s="242"/>
      <c r="AE65" s="242"/>
      <c r="AF65" s="242"/>
      <c r="AG65" s="242"/>
      <c r="AH65" s="302"/>
    </row>
    <row r="66" spans="1:34" s="59" customFormat="1" ht="13" customHeight="1">
      <c r="A66" s="471"/>
      <c r="E66" s="140"/>
      <c r="G66" s="380" t="s">
        <v>228</v>
      </c>
      <c r="H66" s="381"/>
      <c r="I66" s="382"/>
      <c r="J66" s="382"/>
      <c r="K66" s="382"/>
      <c r="L66" s="376">
        <f>SUM($U$52:$V$52)+$AH$52</f>
        <v>0</v>
      </c>
      <c r="N66" s="533" t="s">
        <v>234</v>
      </c>
      <c r="O66" s="534"/>
      <c r="P66" s="398">
        <f>SUM(Jänner:Juni!$D$51)</f>
        <v>0</v>
      </c>
      <c r="T66" s="244"/>
      <c r="U66" s="242"/>
      <c r="V66" s="242"/>
      <c r="W66" s="242"/>
      <c r="X66" s="242"/>
      <c r="Y66" s="242"/>
      <c r="Z66" s="244"/>
      <c r="AA66" s="242"/>
      <c r="AB66" s="242"/>
      <c r="AC66" s="242"/>
      <c r="AD66" s="242"/>
      <c r="AE66" s="242"/>
      <c r="AF66" s="242"/>
      <c r="AG66" s="242"/>
      <c r="AH66" s="302"/>
    </row>
    <row r="67" spans="1:34" s="59" customFormat="1" ht="13" customHeight="1">
      <c r="A67" s="471"/>
      <c r="D67" s="140"/>
      <c r="E67" s="140"/>
      <c r="G67" s="380" t="s">
        <v>103</v>
      </c>
      <c r="H67" s="381"/>
      <c r="I67" s="382"/>
      <c r="J67" s="382"/>
      <c r="K67" s="382"/>
      <c r="L67" s="376">
        <f>SUM($U$51:$W$51)+$AH$51</f>
        <v>0</v>
      </c>
      <c r="N67" s="533" t="s">
        <v>235</v>
      </c>
      <c r="O67" s="534"/>
      <c r="P67" s="398">
        <f>SUM(Jänner:Juni!$D$52)</f>
        <v>0</v>
      </c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42"/>
      <c r="AG67" s="242"/>
      <c r="AH67" s="302"/>
    </row>
    <row r="68" spans="1:34" s="59" customFormat="1" ht="13" customHeight="1">
      <c r="A68" s="471"/>
      <c r="D68" s="140"/>
      <c r="E68" s="140"/>
      <c r="G68" s="121" t="s">
        <v>100</v>
      </c>
      <c r="H68" s="122"/>
      <c r="I68" s="125"/>
      <c r="J68" s="125"/>
      <c r="K68" s="125"/>
      <c r="L68" s="377">
        <f>$L$66*$L$60</f>
        <v>0</v>
      </c>
      <c r="N68" s="533" t="s">
        <v>148</v>
      </c>
      <c r="O68" s="534"/>
      <c r="P68" s="398">
        <f>SUM(Jänner:Juni!$D$53)</f>
        <v>0</v>
      </c>
      <c r="T68" s="242"/>
      <c r="U68" s="242"/>
      <c r="V68" s="242"/>
      <c r="W68" s="242"/>
      <c r="X68" s="242"/>
      <c r="Y68" s="242"/>
      <c r="Z68" s="242"/>
      <c r="AA68" s="242"/>
      <c r="AB68" s="242"/>
      <c r="AC68" s="242"/>
      <c r="AD68" s="242"/>
      <c r="AE68" s="242"/>
      <c r="AF68" s="242"/>
      <c r="AG68" s="242"/>
      <c r="AH68" s="302"/>
    </row>
    <row r="69" spans="1:34" s="59" customFormat="1" ht="13" customHeight="1">
      <c r="A69" s="471"/>
      <c r="D69" s="140"/>
      <c r="E69" s="140"/>
      <c r="G69" s="383" t="s">
        <v>101</v>
      </c>
      <c r="H69" s="384"/>
      <c r="I69" s="378"/>
      <c r="J69" s="378"/>
      <c r="K69" s="378"/>
      <c r="L69" s="379">
        <f>$L$67*$L$61</f>
        <v>0</v>
      </c>
      <c r="N69" s="621" t="s">
        <v>166</v>
      </c>
      <c r="O69" s="622"/>
      <c r="P69" s="399">
        <f>SUM(Jänner:Juni!$D$54)</f>
        <v>0</v>
      </c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302"/>
    </row>
    <row r="70" spans="1:34" s="59" customFormat="1" ht="13" customHeight="1">
      <c r="A70" s="471"/>
      <c r="D70" s="140"/>
      <c r="E70" s="140"/>
      <c r="G70" s="374" t="s">
        <v>393</v>
      </c>
      <c r="H70" s="375"/>
      <c r="I70" s="125"/>
      <c r="J70" s="125"/>
      <c r="K70" s="125"/>
      <c r="L70" s="376">
        <f>SUM($AA$52:$AB$52)</f>
        <v>0</v>
      </c>
      <c r="N70" s="604" t="s">
        <v>389</v>
      </c>
      <c r="O70" s="605"/>
      <c r="P70" s="451">
        <f>SUM(Jänner:Juni!$B$56)</f>
        <v>0</v>
      </c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302"/>
    </row>
    <row r="71" spans="1:34" s="59" customFormat="1" ht="13" customHeight="1">
      <c r="A71" s="471"/>
      <c r="D71" s="140"/>
      <c r="E71" s="140"/>
      <c r="G71" s="374" t="s">
        <v>356</v>
      </c>
      <c r="H71" s="375"/>
      <c r="I71" s="125"/>
      <c r="J71" s="125"/>
      <c r="K71" s="125"/>
      <c r="L71" s="376">
        <f>SUM($AA$51:$AD$51)</f>
        <v>0</v>
      </c>
      <c r="N71" s="533" t="s">
        <v>390</v>
      </c>
      <c r="O71" s="534"/>
      <c r="P71" s="398">
        <f>SUM(Jänner:Juni!$B$57)</f>
        <v>0</v>
      </c>
      <c r="T71" s="242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302"/>
    </row>
    <row r="72" spans="1:34" s="59" customFormat="1" ht="13" customHeight="1">
      <c r="A72" s="471"/>
      <c r="D72" s="140"/>
      <c r="E72" s="140"/>
      <c r="G72" s="374" t="s">
        <v>98</v>
      </c>
      <c r="H72" s="375"/>
      <c r="I72" s="125"/>
      <c r="J72" s="125"/>
      <c r="K72" s="125"/>
      <c r="L72" s="377">
        <f>$L$70*$L$60</f>
        <v>0</v>
      </c>
      <c r="N72" s="606" t="s">
        <v>388</v>
      </c>
      <c r="O72" s="607"/>
      <c r="P72" s="450">
        <f>SUM(Jänner:Juni!$B$58)</f>
        <v>0</v>
      </c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302"/>
    </row>
    <row r="73" spans="1:34" s="59" customFormat="1" ht="13" customHeight="1">
      <c r="A73" s="471"/>
      <c r="D73" s="140"/>
      <c r="E73" s="315"/>
      <c r="G73" s="267" t="s">
        <v>99</v>
      </c>
      <c r="H73" s="268"/>
      <c r="I73" s="378"/>
      <c r="J73" s="378"/>
      <c r="K73" s="378"/>
      <c r="L73" s="379">
        <f>$L$71*$L$61</f>
        <v>0</v>
      </c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302"/>
    </row>
    <row r="74" spans="1:34" s="59" customFormat="1" ht="13" customHeight="1">
      <c r="A74" s="471"/>
      <c r="D74" s="140"/>
      <c r="G74" s="385" t="s">
        <v>288</v>
      </c>
      <c r="H74" s="386"/>
      <c r="I74" s="161"/>
      <c r="J74" s="161"/>
      <c r="K74" s="161"/>
      <c r="L74" s="387">
        <f>VLOOKUP($B$8,Datenblatt!$A$100:$F$112,6,FALSE)-SUM($D$55:$D$58)</f>
        <v>160</v>
      </c>
      <c r="T74" s="242"/>
      <c r="U74" s="242"/>
      <c r="V74" s="242"/>
      <c r="W74" s="242"/>
      <c r="X74" s="242"/>
      <c r="Y74" s="242"/>
      <c r="Z74" s="242"/>
      <c r="AA74" s="242"/>
      <c r="AB74" s="242"/>
      <c r="AC74" s="242"/>
      <c r="AD74" s="242"/>
      <c r="AE74" s="242"/>
      <c r="AF74" s="242"/>
      <c r="AG74" s="242"/>
      <c r="AH74" s="302"/>
    </row>
    <row r="75" spans="1:34" s="59" customFormat="1" ht="13" customHeight="1">
      <c r="A75" s="471"/>
      <c r="D75" s="140"/>
      <c r="T75" s="242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242"/>
      <c r="AF75" s="242"/>
      <c r="AG75" s="242"/>
      <c r="AH75" s="302"/>
    </row>
    <row r="76" spans="1:34" s="59" customFormat="1" ht="13" customHeight="1">
      <c r="A76" s="471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302"/>
    </row>
    <row r="77" spans="1:34" s="59" customFormat="1" ht="13" customHeight="1">
      <c r="A77" s="471"/>
      <c r="C77" s="164" t="s">
        <v>243</v>
      </c>
      <c r="D77" s="165"/>
      <c r="E77" s="166"/>
      <c r="F77" s="166"/>
      <c r="G77" s="166"/>
      <c r="H77" s="167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302"/>
    </row>
    <row r="78" spans="1:34" s="59" customFormat="1" ht="13" customHeight="1">
      <c r="A78" s="471"/>
      <c r="C78" s="121" t="s">
        <v>92</v>
      </c>
      <c r="D78" s="122"/>
      <c r="E78" s="123"/>
      <c r="F78" s="123"/>
      <c r="G78" s="123"/>
      <c r="H78" s="124">
        <f>SUMPRODUCT((WEEKDAY($B$13:$B$42,2)=6)*($D$13:$D$42="ND"))-SUMPRODUCT((WEEKDAY($B$13:$B$42,2)=6)*($D$13:$D$42="ND")*($A$13:$A$42="Ft"))</f>
        <v>0</v>
      </c>
      <c r="R78" s="120"/>
      <c r="S78" s="120"/>
      <c r="T78" s="242"/>
      <c r="U78" s="242"/>
      <c r="V78" s="242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  <c r="AH78" s="302"/>
    </row>
    <row r="79" spans="1:34" s="59" customFormat="1" ht="13" customHeight="1">
      <c r="A79" s="471"/>
      <c r="C79" s="121" t="s">
        <v>93</v>
      </c>
      <c r="D79" s="122"/>
      <c r="E79" s="123"/>
      <c r="F79" s="123"/>
      <c r="G79" s="123"/>
      <c r="H79" s="124">
        <f>SUMPRODUCT((WEEKDAY($B$14:$B$43,2)=7)*($D$14:$D$43="ND"))-SUMPRODUCT((WEEKDAY($B$14:$B$43,2)=7)*($D$14:$D$43="ND")*($A$14:$A$43="Ft"))</f>
        <v>0</v>
      </c>
      <c r="R79" s="120"/>
      <c r="S79" s="120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  <c r="AH79" s="302"/>
    </row>
    <row r="80" spans="1:34" s="59" customFormat="1" ht="13" customHeight="1">
      <c r="A80" s="471"/>
      <c r="C80" s="121" t="s">
        <v>94</v>
      </c>
      <c r="D80" s="122"/>
      <c r="E80" s="123"/>
      <c r="F80" s="123"/>
      <c r="G80" s="123"/>
      <c r="H80" s="124">
        <f>SUMPRODUCT(($D$14:$D$43="ND")*($A$14:$A$43="Ft"))</f>
        <v>0</v>
      </c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42"/>
      <c r="AG80" s="242"/>
      <c r="AH80" s="302"/>
    </row>
    <row r="81" spans="1:34" s="59" customFormat="1" ht="13" customHeight="1">
      <c r="A81" s="471"/>
      <c r="C81" s="121" t="s">
        <v>95</v>
      </c>
      <c r="D81" s="122"/>
      <c r="E81" s="125"/>
      <c r="F81" s="125"/>
      <c r="G81" s="125"/>
      <c r="H81" s="124">
        <f>SUMPRODUCT((WEEKDAY($C$13:$C$42,2)=7)*($D$13:$D$42="ND")*($A$14:$A$43="Ft"))-SUMPRODUCT((WEEKDAY($C$13:$C$42,2)=7)*($D$13:$D$42="ND")*($A$13:$A$42="Ft")*($A$14:$A$43="Ft"))</f>
        <v>0</v>
      </c>
      <c r="T81" s="242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  <c r="AH81" s="302"/>
    </row>
    <row r="82" spans="1:34" s="59" customFormat="1" ht="13" customHeight="1">
      <c r="A82" s="471"/>
      <c r="C82" s="121" t="s">
        <v>96</v>
      </c>
      <c r="D82" s="122"/>
      <c r="E82" s="125"/>
      <c r="F82" s="125"/>
      <c r="G82" s="125"/>
      <c r="H82" s="124">
        <f>SUMPRODUCT(($A$13:$A$42="Ft")*($D$13:$D$42="ND")*($A$14:$A$43="Ft"))</f>
        <v>0</v>
      </c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42"/>
      <c r="AG82" s="242"/>
      <c r="AH82" s="302"/>
    </row>
    <row r="83" spans="1:34" s="59" customFormat="1" ht="13" customHeight="1">
      <c r="A83" s="471"/>
      <c r="C83" s="121" t="s">
        <v>97</v>
      </c>
      <c r="D83" s="122"/>
      <c r="E83" s="125"/>
      <c r="F83" s="122"/>
      <c r="G83" s="122"/>
      <c r="H83" s="124">
        <f>SUMPRODUCT(($A$13:$A$42="Ft")*(WEEKDAY($C$14:$C$43,2)=7)*($D$13:$D$42="ND"))-SUMPRODUCT(($A$13:$A$42="Ft")*($A$14:$A$43="Ft")*(WEEKDAY($C$14:$C$43,2)=7)*($D$13:$D$42="ND"))</f>
        <v>0</v>
      </c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302"/>
    </row>
    <row r="84" spans="1:34" s="59" customFormat="1" ht="13" customHeight="1">
      <c r="A84" s="471"/>
      <c r="C84" s="126" t="s">
        <v>152</v>
      </c>
      <c r="D84" s="127"/>
      <c r="E84" s="161"/>
      <c r="F84" s="127"/>
      <c r="G84" s="127"/>
      <c r="H84" s="199">
        <f>SUMPRODUCT(($A$14:$A$43="Ft")*(WEEKDAY($C$13:$C$42,2)&lt;6)*($D$13:$D$42="ND"))-(SUMPRODUCT(($A$14:$A$43="Ft")*($A$13:$A$42="Ft")*(WEEKDAY($C$13:$C$42,2)&lt;6)*($D$13:$D$42="ND")))</f>
        <v>0</v>
      </c>
      <c r="T84" s="242"/>
      <c r="U84" s="242"/>
      <c r="V84" s="242"/>
      <c r="W84" s="242"/>
      <c r="X84" s="242"/>
      <c r="Y84" s="242"/>
      <c r="Z84" s="242"/>
      <c r="AA84" s="242"/>
      <c r="AB84" s="242"/>
      <c r="AC84" s="242"/>
      <c r="AD84" s="242"/>
      <c r="AE84" s="242"/>
      <c r="AF84" s="242"/>
      <c r="AG84" s="242"/>
      <c r="AH84" s="302"/>
    </row>
    <row r="85" spans="1:34" s="59" customFormat="1" ht="13" customHeight="1">
      <c r="A85" s="471"/>
      <c r="C85" s="164" t="s">
        <v>244</v>
      </c>
      <c r="D85" s="165"/>
      <c r="E85" s="166"/>
      <c r="F85" s="166"/>
      <c r="G85" s="166"/>
      <c r="H85" s="167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242"/>
      <c r="AF85" s="242"/>
      <c r="AG85" s="242"/>
      <c r="AH85" s="302"/>
    </row>
    <row r="86" spans="1:34" s="59" customFormat="1" ht="13" customHeight="1">
      <c r="A86" s="471"/>
      <c r="C86" s="267" t="s">
        <v>401</v>
      </c>
      <c r="D86" s="268"/>
      <c r="E86" s="268"/>
      <c r="F86" s="268"/>
      <c r="G86" s="268"/>
      <c r="H86" s="163"/>
      <c r="T86" s="242"/>
      <c r="U86" s="242"/>
      <c r="V86" s="242"/>
      <c r="W86" s="242"/>
      <c r="X86" s="242"/>
      <c r="Y86" s="242"/>
      <c r="Z86" s="242"/>
      <c r="AA86" s="242"/>
      <c r="AB86" s="242"/>
      <c r="AC86" s="242"/>
      <c r="AD86" s="242"/>
      <c r="AE86" s="242"/>
      <c r="AF86" s="242"/>
      <c r="AG86" s="242"/>
      <c r="AH86" s="302"/>
    </row>
    <row r="87" spans="1:34" s="59" customFormat="1" ht="13" customHeight="1">
      <c r="A87" s="471"/>
      <c r="C87" s="121" t="s">
        <v>16</v>
      </c>
      <c r="D87" s="122"/>
      <c r="E87" s="122"/>
      <c r="F87" s="122"/>
      <c r="G87" s="122"/>
      <c r="H87" s="124">
        <f>SUMPRODUCT((WEEKDAY($B$14:$B$43,2)=7)*($D$14:$D$43="TD"))+SUMPRODUCT(($D$14:$D$43="TD")*($A$14:$A$43="Ft"))-SUMPRODUCT((WEEKDAY($B$14:$B$43,2)=7)*($D$14:$D$43="TD")*($A$14:$A$43="Ft"))</f>
        <v>0</v>
      </c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  <c r="AH87" s="302"/>
    </row>
    <row r="88" spans="1:34" s="59" customFormat="1" ht="13" customHeight="1">
      <c r="A88" s="471"/>
      <c r="C88" s="121" t="s">
        <v>225</v>
      </c>
      <c r="D88" s="122"/>
      <c r="E88" s="122"/>
      <c r="F88" s="122"/>
      <c r="G88" s="122"/>
      <c r="H88" s="124">
        <f>SUMPRODUCT((WEEKDAY($B$14:$B$43,2)=7)*($D$14:$D$43="TD5,5"))+SUMPRODUCT(($D$14:$D$43="TD5,5")*($A$14:$A$43="Ft"))-SUMPRODUCT((WEEKDAY($B$14:$B$43,2)=7)*($D$14:$D$43="TD5,5")*($A$14:$A$43="Ft"))</f>
        <v>0</v>
      </c>
      <c r="T88" s="242"/>
      <c r="U88" s="242"/>
      <c r="V88" s="242"/>
      <c r="W88" s="242"/>
      <c r="X88" s="242"/>
      <c r="Y88" s="242"/>
      <c r="Z88" s="242"/>
      <c r="AA88" s="242"/>
      <c r="AB88" s="242"/>
      <c r="AC88" s="242"/>
      <c r="AD88" s="242"/>
      <c r="AE88" s="242"/>
      <c r="AF88" s="242"/>
      <c r="AG88" s="242"/>
      <c r="AH88" s="302"/>
    </row>
    <row r="89" spans="1:34" s="59" customFormat="1" ht="13" customHeight="1">
      <c r="A89" s="471"/>
      <c r="C89" s="121" t="s">
        <v>88</v>
      </c>
      <c r="D89" s="122"/>
      <c r="E89" s="122"/>
      <c r="F89" s="122"/>
      <c r="G89" s="122"/>
      <c r="H89" s="124">
        <f>SUMPRODUCT((WEEKDAY($B$14:$B$43,2)=7)*($D$14:$D$43="TD6"))+SUMPRODUCT(($D$14:$D$43="TD6")*($A$14:$A$43="Ft"))-SUMPRODUCT((WEEKDAY($B$14:$B$43,2)=7)*($D$14:$D$43="TD6")*($A$14:$A$43="Ft"))</f>
        <v>0</v>
      </c>
      <c r="T89" s="242"/>
      <c r="U89" s="242"/>
      <c r="V89" s="242"/>
      <c r="W89" s="242"/>
      <c r="X89" s="242"/>
      <c r="Y89" s="242"/>
      <c r="Z89" s="242"/>
      <c r="AA89" s="242"/>
      <c r="AB89" s="242"/>
      <c r="AC89" s="242"/>
      <c r="AD89" s="242"/>
      <c r="AE89" s="242"/>
      <c r="AF89" s="242"/>
      <c r="AG89" s="242"/>
      <c r="AH89" s="302"/>
    </row>
    <row r="90" spans="1:34" s="59" customFormat="1" ht="13" customHeight="1">
      <c r="A90" s="471"/>
      <c r="C90" s="121" t="s">
        <v>184</v>
      </c>
      <c r="D90" s="122"/>
      <c r="E90" s="122"/>
      <c r="F90" s="122"/>
      <c r="G90" s="122"/>
      <c r="H90" s="124">
        <f>SUMPRODUCT((WEEKDAY($B$14:$B$43,2)=7)*($D$14:$D$43="TD6,25"))+SUMPRODUCT(($D$14:$D$43="TD6,25")*($A$14:$A$43="Ft"))-SUMPRODUCT((WEEKDAY($B$14:$B$43,2)=7)*($D$14:$D$43="TD6,25")*($A$14:$A$43="Ft"))</f>
        <v>0</v>
      </c>
      <c r="T90" s="242"/>
      <c r="U90" s="242"/>
      <c r="V90" s="242"/>
      <c r="W90" s="242"/>
      <c r="X90" s="242"/>
      <c r="Y90" s="242"/>
      <c r="Z90" s="242"/>
      <c r="AA90" s="242"/>
      <c r="AB90" s="242"/>
      <c r="AC90" s="242"/>
      <c r="AD90" s="242"/>
      <c r="AE90" s="242"/>
      <c r="AF90" s="242"/>
      <c r="AG90" s="242"/>
      <c r="AH90" s="302"/>
    </row>
    <row r="91" spans="1:34" s="59" customFormat="1" ht="13" customHeight="1">
      <c r="A91" s="471"/>
      <c r="C91" s="121" t="s">
        <v>209</v>
      </c>
      <c r="D91" s="122"/>
      <c r="E91" s="122"/>
      <c r="F91" s="122"/>
      <c r="G91" s="122"/>
      <c r="H91" s="124">
        <f>SUMPRODUCT((WEEKDAY($B$14:$B$43,2)=7)*($D$14:$D$43="TD6,5"))+SUMPRODUCT(($D$14:$D$43="TD6,5")*($A$14:$A$43="Ft"))-SUMPRODUCT((WEEKDAY($B$14:$B$43,2)=7)*($D$14:$D$43="TD6,5")*($A$14:$A$43="Ft"))</f>
        <v>0</v>
      </c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302"/>
    </row>
    <row r="92" spans="1:34" s="59" customFormat="1" ht="13" customHeight="1">
      <c r="A92" s="471"/>
      <c r="C92" s="121" t="s">
        <v>86</v>
      </c>
      <c r="D92" s="122"/>
      <c r="E92" s="122"/>
      <c r="F92" s="122"/>
      <c r="G92" s="122"/>
      <c r="H92" s="124">
        <f>SUMPRODUCT((WEEKDAY($B$14:$B$43,2)=7)*($D$14:$D$43="TD7"))+SUMPRODUCT(($D$14:$D$43="TD7")*($A$14:$A$43="Ft"))-SUMPRODUCT((WEEKDAY($B$14:$B$43,2)=7)*($D$14:$D$43="TD7")*($A$14:$A$43="Ft"))</f>
        <v>0</v>
      </c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302"/>
    </row>
    <row r="93" spans="1:34" s="59" customFormat="1" ht="13" customHeight="1">
      <c r="A93" s="471"/>
      <c r="C93" s="121" t="s">
        <v>213</v>
      </c>
      <c r="D93" s="122"/>
      <c r="E93" s="122"/>
      <c r="F93" s="122"/>
      <c r="G93" s="122"/>
      <c r="H93" s="124">
        <f>SUMPRODUCT((WEEKDAY($B$14:$B$43,2)=7)*($D$14:$D$43="TD7,5"))+SUMPRODUCT(($D$14:$D$43="TD7,5")*($A$14:$A$43="Ft"))-SUMPRODUCT((WEEKDAY($B$14:$B$43,2)=7)*($D$14:$D$43="TD7,5")*($A$14:$A$43="Ft"))</f>
        <v>0</v>
      </c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302"/>
    </row>
    <row r="94" spans="1:34" s="59" customFormat="1" ht="13" customHeight="1">
      <c r="A94" s="471"/>
      <c r="C94" s="121" t="s">
        <v>71</v>
      </c>
      <c r="D94" s="122"/>
      <c r="E94" s="122"/>
      <c r="F94" s="122"/>
      <c r="G94" s="122"/>
      <c r="H94" s="124">
        <f>SUMPRODUCT((WEEKDAY($B$14:$B$43,2)=7)*($D$14:$D$43="TD8"))+SUMPRODUCT(($D$14:$D$43="TD8")*($A$14:$A$43="Ft"))-SUMPRODUCT((WEEKDAY($B$14:$B$43,2)=7)*($D$14:$D$43="TD8")*($A$14:$A$43="Ft"))</f>
        <v>0</v>
      </c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42"/>
      <c r="AG94" s="242"/>
      <c r="AH94" s="302"/>
    </row>
    <row r="95" spans="1:34" s="59" customFormat="1" ht="13" customHeight="1">
      <c r="A95" s="471"/>
      <c r="C95" s="121" t="s">
        <v>214</v>
      </c>
      <c r="D95" s="122"/>
      <c r="E95" s="122"/>
      <c r="F95" s="122"/>
      <c r="G95" s="122"/>
      <c r="H95" s="124">
        <f>SUMPRODUCT((WEEKDAY($B$14:$B$43,2)=7)*($D$14:$D$43="TD8,5"))+SUMPRODUCT(($D$14:$D$43="TD8,5")*($A$14:$A$43="Ft"))-SUMPRODUCT((WEEKDAY($B$14:$B$43,2)=7)*($D$14:$D$43="TD8,5")*($A$14:$A$43="Ft"))</f>
        <v>0</v>
      </c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302"/>
    </row>
    <row r="96" spans="1:34" ht="13" customHeight="1">
      <c r="C96" s="121" t="s">
        <v>84</v>
      </c>
      <c r="D96" s="122"/>
      <c r="E96" s="122"/>
      <c r="F96" s="122"/>
      <c r="G96" s="122"/>
      <c r="H96" s="124">
        <f>SUMPRODUCT((WEEKDAY($B$14:$B$43,2)=7)*($D$14:$D$43="TD9"))+SUMPRODUCT(($D$14:$D$43="TD9")*($A$14:$A$43="Ft"))-SUMPRODUCT((WEEKDAY($B$14:$B$43,2)=7)*($D$14:$D$43="TD9")*($A$14:$A$43="Ft"))</f>
        <v>0</v>
      </c>
    </row>
    <row r="97" spans="3:8" ht="13" customHeight="1">
      <c r="C97" s="121" t="s">
        <v>215</v>
      </c>
      <c r="D97" s="122"/>
      <c r="E97" s="122"/>
      <c r="F97" s="122"/>
      <c r="G97" s="122"/>
      <c r="H97" s="124">
        <f>SUMPRODUCT((WEEKDAY($B$14:$B$43,2)=7)*($D$14:$D$43="TD9,5"))+SUMPRODUCT(($D$14:$D$43="TD9,5")*($A$14:$A$43="Ft"))-SUMPRODUCT((WEEKDAY($B$14:$B$43,2)=7)*($D$14:$D$43="TD9,5")*($A$14:$A$43="Ft"))</f>
        <v>0</v>
      </c>
    </row>
    <row r="98" spans="3:8" ht="13" customHeight="1">
      <c r="C98" s="121" t="s">
        <v>413</v>
      </c>
      <c r="D98" s="122"/>
      <c r="E98" s="122"/>
      <c r="F98" s="122"/>
      <c r="G98" s="122"/>
      <c r="H98" s="124">
        <f>SUMPRODUCT((WEEKDAY($B$14:$B$43,2)=7)*($D$14:$D$43="TD10"))+SUMPRODUCT(($D$14:$D$43="TD10")*($A$14:$A$43="Ft"))-SUMPRODUCT((WEEKDAY($B$14:$B$43,2)=7)*($D$14:$D$43="TD10")*($A$14:$A$43="Ft"))</f>
        <v>0</v>
      </c>
    </row>
    <row r="99" spans="3:8" ht="13" customHeight="1">
      <c r="C99" s="121" t="s">
        <v>216</v>
      </c>
      <c r="D99" s="122"/>
      <c r="E99" s="122"/>
      <c r="F99" s="122"/>
      <c r="G99" s="122"/>
      <c r="H99" s="124">
        <f>SUMPRODUCT((WEEKDAY($B$14:$B$43,2)=7)*($D$14:$D$43="TD10,5"))+SUMPRODUCT(($D$14:$D$43="TD10,5")*($A$14:$A$43="Ft"))-SUMPRODUCT((WEEKDAY($B$14:$B$43,2)=7)*($D$14:$D$43="TD10,5")*($A$14:$A$43="Ft"))</f>
        <v>0</v>
      </c>
    </row>
    <row r="100" spans="3:8" ht="13" customHeight="1">
      <c r="C100" s="121" t="s">
        <v>217</v>
      </c>
      <c r="D100" s="122"/>
      <c r="E100" s="122"/>
      <c r="F100" s="122"/>
      <c r="G100" s="122"/>
      <c r="H100" s="124">
        <f>SUMPRODUCT((WEEKDAY($B$14:$B$43,2)=7)*($D$14:$D$43="TD11"))+SUMPRODUCT(($D$14:$D$43="TD11")*($A$14:$A$43="Ft"))-SUMPRODUCT((WEEKDAY($B$14:$B$43,2)=7)*($D$14:$D$43="TD11")*($A$14:$A$43="Ft"))</f>
        <v>0</v>
      </c>
    </row>
    <row r="101" spans="3:8" ht="13" customHeight="1">
      <c r="C101" s="121" t="s">
        <v>210</v>
      </c>
      <c r="D101" s="122"/>
      <c r="E101" s="122"/>
      <c r="F101" s="122"/>
      <c r="G101" s="122"/>
      <c r="H101" s="124">
        <f>SUMPRODUCT((WEEKDAY($B$14:$B$43,2)=7)*($D$14:$D$43="TD11,5"))+SUMPRODUCT(($D$14:$D$43="TD11,5")*($A$14:$A$43="Ft"))-SUMPRODUCT((WEEKDAY($B$14:$B$43,2)=7)*($D$14:$D$43="TD11,5")*($A$14:$A$43="Ft"))</f>
        <v>0</v>
      </c>
    </row>
    <row r="102" spans="3:8" ht="13" customHeight="1">
      <c r="C102" s="121" t="s">
        <v>218</v>
      </c>
      <c r="D102" s="122"/>
      <c r="E102" s="122"/>
      <c r="F102" s="122"/>
      <c r="G102" s="122"/>
      <c r="H102" s="124">
        <f>SUMPRODUCT((WEEKDAY($B$14:$B$43,2)=7)*($D$14:$D$43="TD12"))+SUMPRODUCT(($D$14:$D$43="TD12")*($A$14:$A$43="Ft"))-SUMPRODUCT((WEEKDAY($B$14:$B$43,2)=7)*($D$14:$D$43="TD12")*($A$14:$A$43="Ft"))</f>
        <v>0</v>
      </c>
    </row>
    <row r="103" spans="3:8" ht="13" customHeight="1">
      <c r="C103" s="121" t="s">
        <v>119</v>
      </c>
      <c r="D103" s="122"/>
      <c r="E103" s="122"/>
      <c r="F103" s="122"/>
      <c r="G103" s="122"/>
      <c r="H103" s="124">
        <f>SUMPRODUCT((WEEKDAY($B$14:$B$43,2)=7)*($D$14:$D$43="TD12,5"))+SUMPRODUCT(($D$14:$D$43="TD12,5")*($A$14:$A$43="Ft"))-SUMPRODUCT((WEEKDAY($B$14:$B$43,2)=7)*($D$14:$D$43="TD12,5")*($A$14:$A$43="Ft"))</f>
        <v>0</v>
      </c>
    </row>
    <row r="104" spans="3:8" ht="13" customHeight="1">
      <c r="C104" s="262" t="s">
        <v>149</v>
      </c>
      <c r="D104" s="263"/>
      <c r="E104" s="263"/>
      <c r="F104" s="263"/>
      <c r="G104" s="263"/>
      <c r="H104" s="162"/>
    </row>
    <row r="105" spans="3:8" ht="13" customHeight="1">
      <c r="C105" s="121" t="s">
        <v>153</v>
      </c>
      <c r="D105" s="122"/>
      <c r="E105" s="122"/>
      <c r="F105" s="122"/>
      <c r="G105" s="122"/>
      <c r="H105" s="124">
        <f>SUMPRODUCT((WEEKDAY($B$13:$B$42,2)=6)*($D$13:$D$42="ND12,5"))-SUMPRODUCT((WEEKDAY($B$13:$B$42,2)=6)*($D$13:$D$42="ND12,5")*($A$13:$A$42="Ft"))</f>
        <v>0</v>
      </c>
    </row>
    <row r="106" spans="3:8">
      <c r="C106" s="121" t="s">
        <v>150</v>
      </c>
      <c r="D106" s="125"/>
      <c r="E106" s="125"/>
      <c r="F106" s="125"/>
      <c r="G106" s="125"/>
      <c r="H106" s="124">
        <f>SUMPRODUCT((WEEKDAY($B$14:$B$43,2)=7)*($D$14:$D$43="ND12,5"))-SUMPRODUCT((WEEKDAY($B$14:$B$43,2)=7)*($D$14:$D$43="ND12,5")*($A$14:$A$43="Ft"))</f>
        <v>0</v>
      </c>
    </row>
    <row r="107" spans="3:8">
      <c r="C107" s="121" t="s">
        <v>151</v>
      </c>
      <c r="D107" s="125"/>
      <c r="E107" s="125"/>
      <c r="F107" s="125"/>
      <c r="G107" s="125"/>
      <c r="H107" s="124">
        <f>SUMPRODUCT(($D$14:$D$43="ND12,5")*($A$14:$A$43="Ft"))</f>
        <v>0</v>
      </c>
    </row>
    <row r="108" spans="3:8">
      <c r="C108" s="121" t="s">
        <v>155</v>
      </c>
      <c r="D108" s="125"/>
      <c r="E108" s="125"/>
      <c r="F108" s="125"/>
      <c r="G108" s="125"/>
      <c r="H108" s="124">
        <f>SUMPRODUCT((WEEKDAY($C$13:$C$42,2)=7)*($D$13:$D$42="ND12,5")*($A$14:$A$43="Ft"))-SUMPRODUCT((WEEKDAY($C$13:$C$42,2)=7)*($D$13:$D$42="ND12,5")*($A$13:$A$42="Ft")*($A$14:$A$43="Ft"))</f>
        <v>0</v>
      </c>
    </row>
    <row r="109" spans="3:8">
      <c r="C109" s="121" t="s">
        <v>156</v>
      </c>
      <c r="D109" s="125"/>
      <c r="E109" s="125"/>
      <c r="F109" s="125"/>
      <c r="G109" s="125"/>
      <c r="H109" s="124">
        <f>SUMPRODUCT(($A$13:$A$42="Ft")*($D$13:$D$42="ND12,5")*($A$14:$A$43="Ft"))</f>
        <v>0</v>
      </c>
    </row>
    <row r="110" spans="3:8">
      <c r="C110" s="121" t="s">
        <v>157</v>
      </c>
      <c r="D110" s="125"/>
      <c r="E110" s="125"/>
      <c r="F110" s="125"/>
      <c r="G110" s="125"/>
      <c r="H110" s="124">
        <f>SUMPRODUCT(($A$13:$A$42="Ft")*(WEEKDAY($C$14:$C$43,2)=7)*($D$13:$D$42="ND12,5"))-SUMPRODUCT(($A$13:$A$42="Ft")*($A$14:$A$43="Ft")*(WEEKDAY($C$14:$C$43,2)=7)*($D$13:$D$42="ND12,5"))</f>
        <v>0</v>
      </c>
    </row>
    <row r="111" spans="3:8">
      <c r="C111" s="126" t="s">
        <v>154</v>
      </c>
      <c r="D111" s="161"/>
      <c r="E111" s="161"/>
      <c r="F111" s="161"/>
      <c r="G111" s="161"/>
      <c r="H111" s="199">
        <f>SUMPRODUCT(($A$14:$A$43="Ft")*(WEEKDAY($C$13:$C$42,2)&lt;6)*($D$13:$D$42="ND12,5"))-(SUMPRODUCT(($A$14:$A$43="Ft")*($A$13:$A$42="Ft")*(WEEKDAY($C$13:$C$42,2)&lt;6)*($D$13:$D$42="ND12,5")))</f>
        <v>0</v>
      </c>
    </row>
  </sheetData>
  <sheetProtection algorithmName="SHA-512" hashValue="0ZTwQ30VFiB61Ec4amwm6bt6MeaBf681JkE3EdZ66rbR8rMNMW8UkSxCMSTUp4M741BPx/Q4x4oJgmfe3EHsjQ==" saltValue="morvH0EuYNvbnykWE5IAgg==" spinCount="100000" sheet="1" selectLockedCells="1"/>
  <mergeCells count="63">
    <mergeCell ref="N70:O70"/>
    <mergeCell ref="N71:O71"/>
    <mergeCell ref="N72:O72"/>
    <mergeCell ref="N62:O62"/>
    <mergeCell ref="N64:P65"/>
    <mergeCell ref="N66:O66"/>
    <mergeCell ref="N69:O69"/>
    <mergeCell ref="N67:O67"/>
    <mergeCell ref="N68:O68"/>
    <mergeCell ref="N63:O63"/>
    <mergeCell ref="B9:C11"/>
    <mergeCell ref="D9:D11"/>
    <mergeCell ref="N61:O61"/>
    <mergeCell ref="C50:D50"/>
    <mergeCell ref="G54:I54"/>
    <mergeCell ref="N50:P51"/>
    <mergeCell ref="N58:P59"/>
    <mergeCell ref="N52:O52"/>
    <mergeCell ref="N53:O53"/>
    <mergeCell ref="N54:O54"/>
    <mergeCell ref="N60:O60"/>
    <mergeCell ref="L46:O46"/>
    <mergeCell ref="E9:E11"/>
    <mergeCell ref="F9:G10"/>
    <mergeCell ref="H9:I10"/>
    <mergeCell ref="J9:J11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AG10:AG11"/>
    <mergeCell ref="S9:S11"/>
    <mergeCell ref="Q9:Q11"/>
    <mergeCell ref="R9:R11"/>
    <mergeCell ref="L9:L11"/>
    <mergeCell ref="M9:M11"/>
    <mergeCell ref="N9:N11"/>
    <mergeCell ref="O9:O11"/>
    <mergeCell ref="P9:P11"/>
    <mergeCell ref="AF10:AF11"/>
    <mergeCell ref="U10:Y10"/>
    <mergeCell ref="AA10:AE10"/>
    <mergeCell ref="L47:O47"/>
    <mergeCell ref="N55:O55"/>
    <mergeCell ref="N56:O56"/>
    <mergeCell ref="N57:O57"/>
    <mergeCell ref="K5:M5"/>
    <mergeCell ref="K6:M6"/>
    <mergeCell ref="N6:P6"/>
    <mergeCell ref="N5:P5"/>
    <mergeCell ref="K8:M8"/>
    <mergeCell ref="N8:P8"/>
    <mergeCell ref="K7:M7"/>
    <mergeCell ref="N7:P7"/>
    <mergeCell ref="N13:O13"/>
    <mergeCell ref="K9:K11"/>
  </mergeCells>
  <conditionalFormatting sqref="A13:A43">
    <cfRule type="cellIs" dxfId="301" priority="10" operator="equal">
      <formula>"HFT"</formula>
    </cfRule>
    <cfRule type="cellIs" dxfId="300" priority="11" operator="equal">
      <formula>"FT"</formula>
    </cfRule>
  </conditionalFormatting>
  <conditionalFormatting sqref="A44">
    <cfRule type="cellIs" dxfId="299" priority="323" operator="equal">
      <formula>"Ft"</formula>
    </cfRule>
  </conditionalFormatting>
  <conditionalFormatting sqref="B13:C43">
    <cfRule type="expression" dxfId="298" priority="324">
      <formula>WEEKDAY($C13,2)&gt;5</formula>
    </cfRule>
  </conditionalFormatting>
  <conditionalFormatting sqref="E8">
    <cfRule type="cellIs" dxfId="296" priority="53" operator="greaterThan">
      <formula>48</formula>
    </cfRule>
  </conditionalFormatting>
  <conditionalFormatting sqref="I46:K46">
    <cfRule type="cellIs" dxfId="295" priority="136" operator="equal">
      <formula>"Wochenarbeitszeit überschritten"</formula>
    </cfRule>
  </conditionalFormatting>
  <conditionalFormatting sqref="J44:P44">
    <cfRule type="cellIs" dxfId="294" priority="179" operator="equal">
      <formula>0</formula>
    </cfRule>
  </conditionalFormatting>
  <conditionalFormatting sqref="K8">
    <cfRule type="cellIs" dxfId="293" priority="232" operator="greaterThan">
      <formula>$N$8</formula>
    </cfRule>
    <cfRule type="cellIs" dxfId="292" priority="231" operator="equal">
      <formula>$N$8</formula>
    </cfRule>
    <cfRule type="cellIs" dxfId="291" priority="233" operator="lessThan">
      <formula>$N$8</formula>
    </cfRule>
  </conditionalFormatting>
  <conditionalFormatting sqref="K14:K43">
    <cfRule type="cellIs" dxfId="290" priority="42" operator="greaterThan">
      <formula>0</formula>
    </cfRule>
    <cfRule type="cellIs" dxfId="289" priority="41" operator="lessThanOrEqual">
      <formula>0</formula>
    </cfRule>
  </conditionalFormatting>
  <conditionalFormatting sqref="K44">
    <cfRule type="cellIs" dxfId="288" priority="236" operator="lessThan">
      <formula>0</formula>
    </cfRule>
  </conditionalFormatting>
  <conditionalFormatting sqref="N14:O43">
    <cfRule type="cellIs" dxfId="287" priority="13" operator="equal">
      <formula>0</formula>
    </cfRule>
  </conditionalFormatting>
  <conditionalFormatting sqref="P13:P43">
    <cfRule type="cellIs" dxfId="286" priority="2" operator="equal">
      <formula>0</formula>
    </cfRule>
  </conditionalFormatting>
  <conditionalFormatting sqref="P60:P63">
    <cfRule type="cellIs" dxfId="285" priority="72" operator="lessThan">
      <formula>0</formula>
    </cfRule>
  </conditionalFormatting>
  <conditionalFormatting sqref="Q46">
    <cfRule type="cellIs" dxfId="284" priority="57" operator="equal">
      <formula>0</formula>
    </cfRule>
  </conditionalFormatting>
  <conditionalFormatting sqref="T14:T43">
    <cfRule type="cellIs" dxfId="283" priority="39" operator="equal">
      <formula>0</formula>
    </cfRule>
  </conditionalFormatting>
  <conditionalFormatting sqref="T51:W51">
    <cfRule type="cellIs" dxfId="282" priority="29" operator="equal">
      <formula>0</formula>
    </cfRule>
  </conditionalFormatting>
  <conditionalFormatting sqref="T44:AD44">
    <cfRule type="cellIs" dxfId="281" priority="123" operator="equal">
      <formula>0</formula>
    </cfRule>
  </conditionalFormatting>
  <conditionalFormatting sqref="U15:W43">
    <cfRule type="cellIs" dxfId="280" priority="36" operator="equal">
      <formula>0</formula>
    </cfRule>
  </conditionalFormatting>
  <conditionalFormatting sqref="U51:Y53">
    <cfRule type="cellIs" dxfId="279" priority="19" operator="equal">
      <formula>0</formula>
    </cfRule>
  </conditionalFormatting>
  <conditionalFormatting sqref="V14">
    <cfRule type="cellIs" dxfId="278" priority="38" operator="equal">
      <formula>0</formula>
    </cfRule>
  </conditionalFormatting>
  <conditionalFormatting sqref="V13:Y13">
    <cfRule type="cellIs" dxfId="277" priority="74" operator="equal">
      <formula>0</formula>
    </cfRule>
  </conditionalFormatting>
  <conditionalFormatting sqref="W52">
    <cfRule type="cellIs" dxfId="276" priority="23" operator="equal">
      <formula>0</formula>
    </cfRule>
  </conditionalFormatting>
  <conditionalFormatting sqref="X14:Y43">
    <cfRule type="cellIs" dxfId="275" priority="35" operator="equal">
      <formula>0</formula>
    </cfRule>
  </conditionalFormatting>
  <conditionalFormatting sqref="Z13:Z43">
    <cfRule type="cellIs" dxfId="274" priority="190" operator="equal">
      <formula>0</formula>
    </cfRule>
  </conditionalFormatting>
  <conditionalFormatting sqref="Z51:AC51">
    <cfRule type="cellIs" dxfId="273" priority="27" operator="equal">
      <formula>0</formula>
    </cfRule>
  </conditionalFormatting>
  <conditionalFormatting sqref="AA14:AB43">
    <cfRule type="cellIs" dxfId="272" priority="43" operator="equal">
      <formula>0</formula>
    </cfRule>
  </conditionalFormatting>
  <conditionalFormatting sqref="AA51:AE52">
    <cfRule type="cellIs" dxfId="271" priority="4" operator="equal">
      <formula>0</formula>
    </cfRule>
  </conditionalFormatting>
  <conditionalFormatting sqref="AC13:AD43">
    <cfRule type="cellIs" dxfId="270" priority="144" operator="equal">
      <formula>0</formula>
    </cfRule>
  </conditionalFormatting>
  <conditionalFormatting sqref="AE13:AE44">
    <cfRule type="cellIs" dxfId="269" priority="1" operator="equal">
      <formula>0</formula>
    </cfRule>
  </conditionalFormatting>
  <conditionalFormatting sqref="AF13:AG43">
    <cfRule type="cellIs" dxfId="268" priority="87" operator="equal">
      <formula>0</formula>
    </cfRule>
  </conditionalFormatting>
  <conditionalFormatting sqref="AF44:AH44">
    <cfRule type="cellIs" dxfId="267" priority="64" operator="equal">
      <formula>0</formula>
    </cfRule>
  </conditionalFormatting>
  <conditionalFormatting sqref="AG51:AH51">
    <cfRule type="cellIs" dxfId="266" priority="18" operator="equal">
      <formula>0</formula>
    </cfRule>
  </conditionalFormatting>
  <conditionalFormatting sqref="AH14:AH43">
    <cfRule type="cellIs" dxfId="265" priority="32" operator="equal">
      <formula>0</formula>
    </cfRule>
  </conditionalFormatting>
  <conditionalFormatting sqref="AH51:AH52">
    <cfRule type="cellIs" dxfId="264" priority="16" operator="equal">
      <formula>0</formula>
    </cfRule>
  </conditionalFormatting>
  <dataValidations count="4">
    <dataValidation type="list" allowBlank="1" showInputMessage="1" showErrorMessage="1" sqref="J14:J43" xr:uid="{133C8E48-BE87-488F-8F2D-0FD012E94B06}">
      <formula1>AbwesenheitenStunden</formula1>
    </dataValidation>
    <dataValidation type="list" allowBlank="1" showInputMessage="1" showErrorMessage="1" error="Die Eingabe ist unzulässig_x000a_Bitte Drop Down Felder verwenden" sqref="F14:G43" xr:uid="{74339477-315F-4EE5-BD20-05093EDC43BE}">
      <formula1>Zeiten1</formula1>
    </dataValidation>
    <dataValidation type="decimal" allowBlank="1" showInputMessage="1" showErrorMessage="1" error="Die ausgewählte Stundenanzahl steht nicht zur Verfügung!" sqref="J54" xr:uid="{1E2632E7-E748-45F4-8BCA-FA8734C4E4A2}">
      <formula1>0</formula1>
      <formula2>K54</formula2>
    </dataValidation>
    <dataValidation type="list" allowBlank="1" showInputMessage="1" showErrorMessage="1" sqref="H14:I43" xr:uid="{DA42D70A-A68E-4F8B-9B30-E2AACDF285BE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26" id="{74CB8EDB-E28F-4CD6-96D7-5969D9804EFE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800-000007000000}">
          <x14:formula1>
            <xm:f>Datenblatt!$A$31:$A$51</xm:f>
          </x14:formula1>
          <xm:sqref>A45 AF46:AH46 AI45:XFD45 L45:AE45</xm:sqref>
        </x14:dataValidation>
        <x14:dataValidation type="list" allowBlank="1" showInputMessage="1" showErrorMessage="1" xr:uid="{69C5CEAA-4963-480F-B38E-C73C017CCBBB}">
          <x14:formula1>
            <xm:f>IF((WEEKDAY(C14,2)&gt;=6),SF,IF((COUNTIF(Datenblatt!$B$84:$B$97,C14)=1),SF,IF(OR(D14="U",D14="ZA",D14="NDG",D14="SU",D14="PK",D14="RG",D14="Z0",D14="K",D14="WR"),SF,SpA)))</xm:f>
          </x14:formula1>
          <xm:sqref>E14:E43</xm:sqref>
        </x14:dataValidation>
        <x14:dataValidation type="list" allowBlank="1" showInputMessage="1" showErrorMessage="1" xr:uid="{5F05151D-39C1-4D68-A4B8-1B32127C35E7}">
          <x14:formula1>
            <xm:f>IF((WEEKDAY(C14,2)&gt;=6),SF,IF((COUNTIF(Datenblatt!$B$84:$C$97,C14)=1),SF,Tagespräsenz))</xm:f>
          </x14:formula1>
          <xm:sqref>D14:D43</xm:sqref>
        </x14:dataValidation>
        <x14:dataValidation type="list" allowBlank="1" showInputMessage="1" showErrorMessage="1" xr:uid="{944B4F32-32F8-4D83-87F8-901FD2452169}">
          <x14:formula1>
            <xm:f>Datenblatt!$D$58:$D$59</xm:f>
          </x14:formula1>
          <xm:sqref>P46 J58</xm:sqref>
        </x14:dataValidation>
        <x14:dataValidation type="list" allowBlank="1" showInputMessage="1" showErrorMessage="1" xr:uid="{0AE6BDC2-D642-4692-91A2-53F9ACB57F8D}">
          <x14:formula1>
            <xm:f>Datenblatt!$D$52:$D$53</xm:f>
          </x14:formula1>
          <xm:sqref>P47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18</vt:i4>
      </vt:variant>
      <vt:variant>
        <vt:lpstr>Benannte Bereiche</vt:lpstr>
      </vt:variant>
      <vt:variant>
        <vt:i4>9</vt:i4>
      </vt:variant>
    </vt:vector>
  </HeadingPairs>
  <TitlesOfParts>
    <vt:vector size="27" baseType="lpstr">
      <vt:lpstr>Info</vt:lpstr>
      <vt:lpstr>Üst</vt:lpstr>
      <vt:lpstr>Start</vt:lpstr>
      <vt:lpstr>Jänner</vt:lpstr>
      <vt:lpstr>Februar</vt:lpstr>
      <vt:lpstr>März</vt:lpstr>
      <vt:lpstr>April</vt:lpstr>
      <vt:lpstr>Mai</vt:lpstr>
      <vt:lpstr>Juni</vt:lpstr>
      <vt:lpstr>Juli</vt:lpstr>
      <vt:lpstr>August</vt:lpstr>
      <vt:lpstr>September</vt:lpstr>
      <vt:lpstr>Oktober</vt:lpstr>
      <vt:lpstr>November</vt:lpstr>
      <vt:lpstr>Dezember</vt:lpstr>
      <vt:lpstr>Jänner.</vt:lpstr>
      <vt:lpstr>Datenblatt</vt:lpstr>
      <vt:lpstr>Gehalt</vt:lpstr>
      <vt:lpstr>AbwesenheitenStunden</vt:lpstr>
      <vt:lpstr>Feiertage</vt:lpstr>
      <vt:lpstr>SF</vt:lpstr>
      <vt:lpstr>SpA</vt:lpstr>
      <vt:lpstr>Tagespräsenz</vt:lpstr>
      <vt:lpstr>Zeiten1</vt:lpstr>
      <vt:lpstr>Zeiten2</vt:lpstr>
      <vt:lpstr>Zeiten2Anfang</vt:lpstr>
      <vt:lpstr>Zeiten2Ende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© Michael Graf IT-Dienstleistungen</dc:creator>
  <cp:lastModifiedBy>Harald Mauler</cp:lastModifiedBy>
  <cp:lastPrinted>2023-01-19T04:46:38Z</cp:lastPrinted>
  <dcterms:created xsi:type="dcterms:W3CDTF">2015-01-19T20:57:13Z</dcterms:created>
  <dcterms:modified xsi:type="dcterms:W3CDTF">2024-03-20T18:21:11Z</dcterms:modified>
</cp:coreProperties>
</file>