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drawings/drawing10.xml" ContentType="application/vnd.openxmlformats-officedocument.drawing+xml"/>
  <Override PartName="/xl/comments7.xml" ContentType="application/vnd.openxmlformats-officedocument.spreadsheetml.comments+xml"/>
  <Override PartName="/xl/drawings/drawing11.xml" ContentType="application/vnd.openxmlformats-officedocument.drawing+xml"/>
  <Override PartName="/xl/comments8.xml" ContentType="application/vnd.openxmlformats-officedocument.spreadsheetml.comments+xml"/>
  <Override PartName="/xl/drawings/drawing12.xml" ContentType="application/vnd.openxmlformats-officedocument.drawing+xml"/>
  <Override PartName="/xl/comments9.xml" ContentType="application/vnd.openxmlformats-officedocument.spreadsheetml.comments+xml"/>
  <Override PartName="/xl/drawings/drawing13.xml" ContentType="application/vnd.openxmlformats-officedocument.drawing+xml"/>
  <Override PartName="/xl/comments10.xml" ContentType="application/vnd.openxmlformats-officedocument.spreadsheetml.comments+xml"/>
  <Override PartName="/xl/drawings/drawing14.xml" ContentType="application/vnd.openxmlformats-officedocument.drawing+xml"/>
  <Override PartName="/xl/comments11.xml" ContentType="application/vnd.openxmlformats-officedocument.spreadsheetml.comments+xml"/>
  <Override PartName="/xl/drawings/drawing15.xml" ContentType="application/vnd.openxmlformats-officedocument.drawing+xml"/>
  <Override PartName="/xl/comments12.xml" ContentType="application/vnd.openxmlformats-officedocument.spreadsheetml.comments+xml"/>
  <Override PartName="/xl/drawings/drawing16.xml" ContentType="application/vnd.openxmlformats-officedocument.drawing+xml"/>
  <Override PartName="/xl/comments13.xml" ContentType="application/vnd.openxmlformats-officedocument.spreadsheetml.comments+xml"/>
  <Override PartName="/xl/drawings/drawing17.xml" ContentType="application/vnd.openxmlformats-officedocument.drawing+xml"/>
  <Override PartName="/xl/comments14.xml" ContentType="application/vnd.openxmlformats-officedocument.spreadsheetml.comments+xml"/>
  <Override PartName="/xl/drawings/drawing18.xml" ContentType="application/vnd.openxmlformats-officedocument.drawing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4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harald/Desktop/"/>
    </mc:Choice>
  </mc:AlternateContent>
  <xr:revisionPtr revIDLastSave="0" documentId="13_ncr:1_{C5D1C105-5256-D94F-B4ED-C372C81BE647}" xr6:coauthVersionLast="47" xr6:coauthVersionMax="47" xr10:uidLastSave="{00000000-0000-0000-0000-000000000000}"/>
  <workbookProtection workbookAlgorithmName="SHA-512" workbookHashValue="fWoQT6EGN8jW0a1rmTr0VFjGrQuMTrdS9bpaNy4WrGBHPC2GIUKb39sho0tvT8vJdcAobXhavNDbOLFhmLh9pA==" workbookSaltValue="ThY5C/g0GpuJjlgXruNyhg==" workbookSpinCount="100000" lockStructure="1"/>
  <bookViews>
    <workbookView xWindow="0" yWindow="760" windowWidth="29040" windowHeight="16440" xr2:uid="{00000000-000D-0000-FFFF-FFFF00000000}"/>
  </bookViews>
  <sheets>
    <sheet name="Info" sheetId="90" r:id="rId1"/>
    <sheet name="Üst" sheetId="16" r:id="rId2"/>
    <sheet name="Start" sheetId="89" r:id="rId3"/>
    <sheet name="Jänner" sheetId="86" r:id="rId4"/>
    <sheet name="Februar" sheetId="73" r:id="rId5"/>
    <sheet name="März" sheetId="76" r:id="rId6"/>
    <sheet name="April" sheetId="75" r:id="rId7"/>
    <sheet name="Mai" sheetId="77" r:id="rId8"/>
    <sheet name="Juni" sheetId="82" r:id="rId9"/>
    <sheet name="Juli" sheetId="78" r:id="rId10"/>
    <sheet name="August" sheetId="79" r:id="rId11"/>
    <sheet name="September" sheetId="83" r:id="rId12"/>
    <sheet name="Oktober" sheetId="80" r:id="rId13"/>
    <sheet name="November" sheetId="84" r:id="rId14"/>
    <sheet name="Dezember" sheetId="81" r:id="rId15"/>
    <sheet name="Jänner." sheetId="87" r:id="rId16"/>
    <sheet name="Februar." sheetId="91" r:id="rId17"/>
    <sheet name="März." sheetId="92" r:id="rId18"/>
    <sheet name="Gehalt" sheetId="17" state="hidden" r:id="rId19"/>
    <sheet name="Datenblatt" sheetId="3" state="hidden" r:id="rId20"/>
  </sheets>
  <definedNames>
    <definedName name="AbwesenheitenStunden">Datenblatt!$K$2:$K$25</definedName>
    <definedName name="Feiertage">Datenblatt!$B$84:$C$97</definedName>
    <definedName name="SF">Datenblatt!$I$2:$I$22</definedName>
    <definedName name="SpA">Datenblatt!$E$2:$E$28</definedName>
    <definedName name="Tagespräsenz">Datenblatt!$A$2:$A$31</definedName>
    <definedName name="Zeiten1">Datenblatt!$N$2:$N$66</definedName>
    <definedName name="Zeiten2">Datenblatt!$O$2:$O$34</definedName>
    <definedName name="Zeiten2Anfang">Datenblatt!$O$10:$O$34</definedName>
    <definedName name="Zeiten2Ende">Datenblatt!$O$2:$O$10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4" i="17" l="1"/>
  <c r="G52" i="91"/>
  <c r="G53" i="92"/>
  <c r="G52" i="92"/>
  <c r="G53" i="84"/>
  <c r="M1" i="17"/>
  <c r="C1" i="17"/>
  <c r="N5" i="17"/>
  <c r="Q5" i="17"/>
  <c r="P12" i="17"/>
  <c r="Q12" i="17"/>
  <c r="R15" i="17"/>
  <c r="N16" i="17"/>
  <c r="P18" i="17"/>
  <c r="R18" i="17"/>
  <c r="M14" i="17"/>
  <c r="M17" i="17"/>
  <c r="H5" i="17"/>
  <c r="D6" i="17"/>
  <c r="E6" i="17"/>
  <c r="F8" i="17"/>
  <c r="H8" i="17"/>
  <c r="I8" i="17"/>
  <c r="D11" i="17"/>
  <c r="F11" i="17"/>
  <c r="G11" i="17"/>
  <c r="H13" i="17"/>
  <c r="D14" i="17"/>
  <c r="E14" i="17"/>
  <c r="F16" i="17"/>
  <c r="H16" i="17"/>
  <c r="I16" i="17"/>
  <c r="F18" i="17"/>
  <c r="D19" i="17"/>
  <c r="F19" i="17"/>
  <c r="G19" i="17"/>
  <c r="H20" i="17"/>
  <c r="I20" i="17"/>
  <c r="D21" i="17"/>
  <c r="H21" i="17"/>
  <c r="D22" i="17"/>
  <c r="E22" i="17"/>
  <c r="C14" i="17"/>
  <c r="C15" i="17"/>
  <c r="C18" i="17"/>
  <c r="C22" i="17"/>
  <c r="AC1" i="17"/>
  <c r="U1" i="17"/>
  <c r="C5" i="17" s="1"/>
  <c r="E34" i="17"/>
  <c r="S6" i="17" s="1"/>
  <c r="M14" i="77"/>
  <c r="E36" i="17"/>
  <c r="E38" i="17" s="1"/>
  <c r="D55" i="77"/>
  <c r="D56" i="77"/>
  <c r="D57" i="77"/>
  <c r="D58" i="77"/>
  <c r="L14" i="77"/>
  <c r="M15" i="77"/>
  <c r="L15" i="77"/>
  <c r="M16" i="77"/>
  <c r="L16" i="77"/>
  <c r="M17" i="77"/>
  <c r="L17" i="77"/>
  <c r="M18" i="77"/>
  <c r="L18" i="77"/>
  <c r="M19" i="77"/>
  <c r="L19" i="77"/>
  <c r="M20" i="77"/>
  <c r="L20" i="77"/>
  <c r="M21" i="77"/>
  <c r="L21" i="77"/>
  <c r="M22" i="77"/>
  <c r="L22" i="77"/>
  <c r="M23" i="77"/>
  <c r="L23" i="77"/>
  <c r="M24" i="77"/>
  <c r="L24" i="77"/>
  <c r="M25" i="77"/>
  <c r="L25" i="77"/>
  <c r="M26" i="77"/>
  <c r="L26" i="77"/>
  <c r="M27" i="77"/>
  <c r="L27" i="77"/>
  <c r="M28" i="77"/>
  <c r="L28" i="77"/>
  <c r="M29" i="77"/>
  <c r="L29" i="77"/>
  <c r="M30" i="77"/>
  <c r="L30" i="77"/>
  <c r="M31" i="77"/>
  <c r="L31" i="77"/>
  <c r="M32" i="77"/>
  <c r="L32" i="77"/>
  <c r="M33" i="77"/>
  <c r="L33" i="77"/>
  <c r="M34" i="77"/>
  <c r="L34" i="77"/>
  <c r="M35" i="77"/>
  <c r="L35" i="77"/>
  <c r="M36" i="77"/>
  <c r="L36" i="77"/>
  <c r="M37" i="77"/>
  <c r="L37" i="77"/>
  <c r="M38" i="77"/>
  <c r="L38" i="77"/>
  <c r="M39" i="77"/>
  <c r="L39" i="77"/>
  <c r="M40" i="77"/>
  <c r="L40" i="77"/>
  <c r="M41" i="77"/>
  <c r="L41" i="77"/>
  <c r="M42" i="77"/>
  <c r="L42" i="77"/>
  <c r="M43" i="77"/>
  <c r="L43" i="77"/>
  <c r="N6" i="17"/>
  <c r="H8" i="78"/>
  <c r="Q6" i="78" s="1"/>
  <c r="L60" i="78" s="1"/>
  <c r="L72" i="78" s="1"/>
  <c r="H8" i="79"/>
  <c r="H8" i="83"/>
  <c r="H8" i="80"/>
  <c r="Q6" i="80" s="1"/>
  <c r="L60" i="80" s="1"/>
  <c r="H8" i="84"/>
  <c r="Q6" i="84" s="1"/>
  <c r="L60" i="84" s="1"/>
  <c r="H8" i="81"/>
  <c r="Q6" i="81"/>
  <c r="L60" i="81" s="1"/>
  <c r="O5" i="17"/>
  <c r="P5" i="17"/>
  <c r="R5" i="17"/>
  <c r="S5" i="17"/>
  <c r="M6" i="17"/>
  <c r="O6" i="17"/>
  <c r="Q6" i="17"/>
  <c r="R6" i="17"/>
  <c r="M7" i="17"/>
  <c r="N7" i="17"/>
  <c r="P7" i="17"/>
  <c r="Q7" i="17"/>
  <c r="S7" i="17"/>
  <c r="M8" i="17"/>
  <c r="N8" i="17"/>
  <c r="O8" i="17"/>
  <c r="P8" i="17"/>
  <c r="Q8" i="17"/>
  <c r="R8" i="17"/>
  <c r="S8" i="17"/>
  <c r="N9" i="17"/>
  <c r="O9" i="17"/>
  <c r="P9" i="17"/>
  <c r="Q9" i="17"/>
  <c r="R9" i="17"/>
  <c r="S9" i="17"/>
  <c r="N10" i="17"/>
  <c r="O10" i="17"/>
  <c r="P10" i="17"/>
  <c r="Q10" i="17"/>
  <c r="R10" i="17"/>
  <c r="S10" i="17"/>
  <c r="M11" i="17"/>
  <c r="N11" i="17"/>
  <c r="P11" i="17"/>
  <c r="Q11" i="17"/>
  <c r="S11" i="17"/>
  <c r="M12" i="17"/>
  <c r="N12" i="17"/>
  <c r="O12" i="17"/>
  <c r="R12" i="17"/>
  <c r="S12" i="17"/>
  <c r="M13" i="17"/>
  <c r="O13" i="17"/>
  <c r="P13" i="17"/>
  <c r="S13" i="17"/>
  <c r="N14" i="17"/>
  <c r="O14" i="17"/>
  <c r="Q14" i="17"/>
  <c r="R14" i="17"/>
  <c r="M15" i="17"/>
  <c r="N15" i="17"/>
  <c r="P15" i="17"/>
  <c r="Q15" i="17"/>
  <c r="S15" i="17"/>
  <c r="M16" i="17"/>
  <c r="O16" i="17"/>
  <c r="R16" i="17"/>
  <c r="S16" i="17"/>
  <c r="O17" i="17"/>
  <c r="Q17" i="17"/>
  <c r="N18" i="17"/>
  <c r="O18" i="17"/>
  <c r="Q18" i="17"/>
  <c r="S18" i="17"/>
  <c r="M19" i="17"/>
  <c r="N19" i="17"/>
  <c r="O19" i="17"/>
  <c r="P19" i="17"/>
  <c r="Q19" i="17"/>
  <c r="S19" i="17"/>
  <c r="M20" i="17"/>
  <c r="P20" i="17"/>
  <c r="R20" i="17"/>
  <c r="S20" i="17"/>
  <c r="M21" i="17"/>
  <c r="N21" i="17"/>
  <c r="O21" i="17"/>
  <c r="P21" i="17"/>
  <c r="Q21" i="17"/>
  <c r="R21" i="17"/>
  <c r="S21" i="17"/>
  <c r="N22" i="17"/>
  <c r="O22" i="17"/>
  <c r="P22" i="17"/>
  <c r="Q22" i="17"/>
  <c r="R22" i="17"/>
  <c r="S22" i="17"/>
  <c r="N4" i="17"/>
  <c r="O4" i="17"/>
  <c r="R4" i="17"/>
  <c r="S4" i="17"/>
  <c r="M4" i="17"/>
  <c r="AF15" i="92"/>
  <c r="AG15" i="92"/>
  <c r="AF16" i="92"/>
  <c r="AG16" i="92"/>
  <c r="AF17" i="92"/>
  <c r="AG17" i="92"/>
  <c r="AF18" i="92"/>
  <c r="AG18" i="92"/>
  <c r="AF19" i="92"/>
  <c r="AG19" i="92"/>
  <c r="AF20" i="92"/>
  <c r="AG20" i="92"/>
  <c r="AF21" i="92"/>
  <c r="AG21" i="92"/>
  <c r="AF22" i="92"/>
  <c r="AG22" i="92"/>
  <c r="AF23" i="92"/>
  <c r="AG23" i="92"/>
  <c r="AF24" i="92"/>
  <c r="AG24" i="92"/>
  <c r="AF25" i="92"/>
  <c r="AG25" i="92"/>
  <c r="AF26" i="92"/>
  <c r="AG26" i="92"/>
  <c r="AF27" i="92"/>
  <c r="AG27" i="92"/>
  <c r="AF28" i="92"/>
  <c r="AG28" i="92"/>
  <c r="AF29" i="92"/>
  <c r="AG29" i="92"/>
  <c r="AF30" i="92"/>
  <c r="AG30" i="92"/>
  <c r="AF31" i="92"/>
  <c r="AG31" i="92"/>
  <c r="AF32" i="92"/>
  <c r="AG32" i="92"/>
  <c r="AF33" i="92"/>
  <c r="AG33" i="92"/>
  <c r="AF34" i="92"/>
  <c r="AG34" i="92"/>
  <c r="AF35" i="92"/>
  <c r="AG35" i="92"/>
  <c r="AF36" i="92"/>
  <c r="AG36" i="92"/>
  <c r="AF37" i="92"/>
  <c r="AG37" i="92"/>
  <c r="AF38" i="92"/>
  <c r="AG38" i="92"/>
  <c r="AF39" i="92"/>
  <c r="AG39" i="92"/>
  <c r="AF40" i="92"/>
  <c r="AG40" i="92"/>
  <c r="AF41" i="92"/>
  <c r="AG41" i="92"/>
  <c r="AF42" i="92"/>
  <c r="AG42" i="92"/>
  <c r="AF43" i="92"/>
  <c r="AG43" i="92"/>
  <c r="AF44" i="92"/>
  <c r="AG44" i="92"/>
  <c r="K57" i="79"/>
  <c r="L57" i="79" s="1"/>
  <c r="L58" i="86"/>
  <c r="D4" i="17"/>
  <c r="E4" i="17"/>
  <c r="F4" i="17"/>
  <c r="G4" i="17"/>
  <c r="H4" i="17"/>
  <c r="E5" i="17"/>
  <c r="F5" i="17"/>
  <c r="G5" i="17"/>
  <c r="I5" i="17"/>
  <c r="G6" i="17"/>
  <c r="H6" i="17"/>
  <c r="I6" i="17"/>
  <c r="E7" i="17"/>
  <c r="I7" i="17"/>
  <c r="D8" i="17"/>
  <c r="E8" i="17"/>
  <c r="G8" i="17"/>
  <c r="E9" i="17"/>
  <c r="F9" i="17"/>
  <c r="G9" i="17"/>
  <c r="I9" i="17"/>
  <c r="G10" i="17"/>
  <c r="H10" i="17"/>
  <c r="I10" i="17"/>
  <c r="E11" i="17"/>
  <c r="I11" i="17"/>
  <c r="D12" i="17"/>
  <c r="E12" i="17"/>
  <c r="G12" i="17"/>
  <c r="E13" i="17"/>
  <c r="F13" i="17"/>
  <c r="G13" i="17"/>
  <c r="I13" i="17"/>
  <c r="G14" i="17"/>
  <c r="H14" i="17"/>
  <c r="I14" i="17"/>
  <c r="E15" i="17"/>
  <c r="I15" i="17"/>
  <c r="D16" i="17"/>
  <c r="E16" i="17"/>
  <c r="G16" i="17"/>
  <c r="E17" i="17"/>
  <c r="F17" i="17"/>
  <c r="G17" i="17"/>
  <c r="I17" i="17"/>
  <c r="G18" i="17"/>
  <c r="H18" i="17"/>
  <c r="I18" i="17"/>
  <c r="E19" i="17"/>
  <c r="I19" i="17"/>
  <c r="D20" i="17"/>
  <c r="E20" i="17"/>
  <c r="G20" i="17"/>
  <c r="E21" i="17"/>
  <c r="F21" i="17"/>
  <c r="G21" i="17"/>
  <c r="I21" i="17"/>
  <c r="G22" i="17"/>
  <c r="H22" i="17"/>
  <c r="I22" i="17"/>
  <c r="C8" i="17"/>
  <c r="C9" i="17"/>
  <c r="C11" i="17"/>
  <c r="C12" i="17"/>
  <c r="C13" i="17"/>
  <c r="C16" i="17"/>
  <c r="C17" i="17"/>
  <c r="C19" i="17"/>
  <c r="C20" i="17"/>
  <c r="C21" i="17"/>
  <c r="D8" i="92"/>
  <c r="B8" i="92"/>
  <c r="C14" i="92"/>
  <c r="H8" i="92"/>
  <c r="D8" i="91"/>
  <c r="B8" i="91"/>
  <c r="C14" i="91"/>
  <c r="H8" i="91"/>
  <c r="Q6" i="91" s="1"/>
  <c r="L61" i="91" s="1"/>
  <c r="D8" i="87"/>
  <c r="B8" i="87"/>
  <c r="C14" i="87"/>
  <c r="H8" i="87"/>
  <c r="D8" i="81"/>
  <c r="B8" i="81"/>
  <c r="C14" i="81"/>
  <c r="D8" i="84"/>
  <c r="B8" i="84"/>
  <c r="C14" i="84"/>
  <c r="D8" i="80"/>
  <c r="B8" i="80"/>
  <c r="C14" i="80"/>
  <c r="D8" i="83"/>
  <c r="B8" i="83"/>
  <c r="C14" i="83"/>
  <c r="D8" i="79"/>
  <c r="B8" i="79"/>
  <c r="C14" i="79"/>
  <c r="D8" i="78"/>
  <c r="B8" i="78"/>
  <c r="C14" i="78"/>
  <c r="D8" i="82"/>
  <c r="B8" i="82"/>
  <c r="C14" i="82"/>
  <c r="H8" i="82"/>
  <c r="D8" i="77"/>
  <c r="B8" i="77"/>
  <c r="C14" i="77"/>
  <c r="H8" i="77"/>
  <c r="D8" i="75"/>
  <c r="B8" i="75"/>
  <c r="C14" i="75"/>
  <c r="H8" i="75"/>
  <c r="D8" i="76"/>
  <c r="B8" i="76"/>
  <c r="C14" i="76"/>
  <c r="H8" i="76"/>
  <c r="D8" i="73"/>
  <c r="B8" i="73"/>
  <c r="C14" i="73"/>
  <c r="H8" i="73"/>
  <c r="D8" i="86"/>
  <c r="B8" i="86"/>
  <c r="C14" i="86"/>
  <c r="H8" i="86"/>
  <c r="D51" i="86"/>
  <c r="D51" i="73"/>
  <c r="D51" i="76"/>
  <c r="P60" i="78" s="1"/>
  <c r="D51" i="75"/>
  <c r="D51" i="77"/>
  <c r="D51" i="82"/>
  <c r="D51" i="78"/>
  <c r="D51" i="79"/>
  <c r="D51" i="83"/>
  <c r="D51" i="80"/>
  <c r="D51" i="84"/>
  <c r="D51" i="81"/>
  <c r="D51" i="87"/>
  <c r="D51" i="91"/>
  <c r="D51" i="92"/>
  <c r="AF15" i="87"/>
  <c r="AG15" i="87"/>
  <c r="AF16" i="87"/>
  <c r="AG16" i="87"/>
  <c r="AF17" i="87"/>
  <c r="AG17" i="87"/>
  <c r="AF18" i="87"/>
  <c r="AG18" i="87"/>
  <c r="AF19" i="87"/>
  <c r="AG19" i="87"/>
  <c r="AF20" i="87"/>
  <c r="AG20" i="87"/>
  <c r="AF21" i="87"/>
  <c r="AG21" i="87"/>
  <c r="AF22" i="87"/>
  <c r="AG22" i="87"/>
  <c r="AF23" i="87"/>
  <c r="AG23" i="87"/>
  <c r="AF24" i="87"/>
  <c r="AG24" i="87"/>
  <c r="AF25" i="87"/>
  <c r="AG25" i="87"/>
  <c r="AF26" i="87"/>
  <c r="AG26" i="87"/>
  <c r="AF27" i="87"/>
  <c r="AG27" i="87"/>
  <c r="AF28" i="87"/>
  <c r="AG28" i="87"/>
  <c r="AF29" i="87"/>
  <c r="AG29" i="87"/>
  <c r="AF30" i="87"/>
  <c r="AG30" i="87"/>
  <c r="AF31" i="87"/>
  <c r="AG31" i="87"/>
  <c r="AF32" i="87"/>
  <c r="AG32" i="87"/>
  <c r="AF33" i="87"/>
  <c r="AG33" i="87"/>
  <c r="AF34" i="87"/>
  <c r="AG34" i="87"/>
  <c r="AF35" i="87"/>
  <c r="AG35" i="87"/>
  <c r="AF36" i="87"/>
  <c r="AG36" i="87"/>
  <c r="AF37" i="87"/>
  <c r="AG37" i="87"/>
  <c r="AF38" i="87"/>
  <c r="AG38" i="87"/>
  <c r="AF39" i="87"/>
  <c r="AG39" i="87"/>
  <c r="AF40" i="87"/>
  <c r="AG40" i="87"/>
  <c r="AF41" i="87"/>
  <c r="AG41" i="87"/>
  <c r="AF42" i="87"/>
  <c r="AG42" i="87"/>
  <c r="AF43" i="87"/>
  <c r="AG43" i="87"/>
  <c r="AF44" i="87"/>
  <c r="AG44" i="87"/>
  <c r="L58" i="92"/>
  <c r="K57" i="92"/>
  <c r="L51" i="92"/>
  <c r="L51" i="91"/>
  <c r="L58" i="87"/>
  <c r="L51" i="87"/>
  <c r="L58" i="81"/>
  <c r="K57" i="81"/>
  <c r="L57" i="81" s="1"/>
  <c r="L51" i="81"/>
  <c r="L58" i="84"/>
  <c r="K57" i="84"/>
  <c r="L57" i="84" s="1"/>
  <c r="L51" i="84"/>
  <c r="L58" i="80"/>
  <c r="K57" i="80"/>
  <c r="L57" i="80" s="1"/>
  <c r="L51" i="80"/>
  <c r="L58" i="83"/>
  <c r="K57" i="83"/>
  <c r="L57" i="83" s="1"/>
  <c r="L51" i="83"/>
  <c r="L58" i="79"/>
  <c r="L51" i="79"/>
  <c r="L58" i="78"/>
  <c r="K57" i="78"/>
  <c r="L51" i="78"/>
  <c r="L58" i="82"/>
  <c r="K57" i="82"/>
  <c r="L57" i="82" s="1"/>
  <c r="L51" i="82"/>
  <c r="L58" i="77"/>
  <c r="K57" i="77"/>
  <c r="L51" i="77"/>
  <c r="L58" i="75"/>
  <c r="K57" i="75"/>
  <c r="L51" i="75"/>
  <c r="L51" i="76"/>
  <c r="L58" i="73"/>
  <c r="K57" i="73"/>
  <c r="L57" i="73" s="1"/>
  <c r="L51" i="73"/>
  <c r="L51" i="86"/>
  <c r="K57" i="86"/>
  <c r="L57" i="86" s="1"/>
  <c r="L58" i="91"/>
  <c r="K57" i="91"/>
  <c r="L57" i="91" s="1"/>
  <c r="AF15" i="91"/>
  <c r="AG15" i="91"/>
  <c r="AF16" i="91"/>
  <c r="AG16" i="91"/>
  <c r="AF17" i="91"/>
  <c r="AG17" i="91"/>
  <c r="AF18" i="91"/>
  <c r="AG18" i="91"/>
  <c r="AF19" i="91"/>
  <c r="AG19" i="91"/>
  <c r="AF20" i="91"/>
  <c r="AG20" i="91"/>
  <c r="AF21" i="91"/>
  <c r="AG21" i="91"/>
  <c r="AF22" i="91"/>
  <c r="AG22" i="91"/>
  <c r="AF23" i="91"/>
  <c r="AG23" i="91"/>
  <c r="AF24" i="91"/>
  <c r="AG24" i="91"/>
  <c r="AF25" i="91"/>
  <c r="AG25" i="91"/>
  <c r="AF26" i="91"/>
  <c r="AG26" i="91"/>
  <c r="AF27" i="91"/>
  <c r="AG27" i="91"/>
  <c r="AF28" i="91"/>
  <c r="AG28" i="91"/>
  <c r="AF29" i="91"/>
  <c r="AG29" i="91"/>
  <c r="AF30" i="91"/>
  <c r="AG30" i="91"/>
  <c r="AF31" i="91"/>
  <c r="AG31" i="91"/>
  <c r="AF32" i="91"/>
  <c r="AG32" i="91"/>
  <c r="AF33" i="91"/>
  <c r="AG33" i="91"/>
  <c r="AF34" i="91"/>
  <c r="AG34" i="91"/>
  <c r="AF35" i="91"/>
  <c r="AG35" i="91"/>
  <c r="AF36" i="91"/>
  <c r="AG36" i="91"/>
  <c r="AF37" i="91"/>
  <c r="AG37" i="91"/>
  <c r="AF38" i="91"/>
  <c r="AG38" i="91"/>
  <c r="AF39" i="91"/>
  <c r="AG39" i="91"/>
  <c r="AF40" i="91"/>
  <c r="AG40" i="91"/>
  <c r="AF41" i="91"/>
  <c r="AG41" i="91"/>
  <c r="K57" i="87"/>
  <c r="G53" i="91"/>
  <c r="P24" i="17"/>
  <c r="D13" i="76"/>
  <c r="M13" i="76"/>
  <c r="E13" i="76"/>
  <c r="M14" i="76"/>
  <c r="M15" i="76"/>
  <c r="M16" i="76"/>
  <c r="M17" i="76"/>
  <c r="M18" i="76"/>
  <c r="M19" i="76"/>
  <c r="M20" i="76"/>
  <c r="M21" i="76"/>
  <c r="M22" i="76"/>
  <c r="M23" i="76"/>
  <c r="M24" i="76"/>
  <c r="M25" i="76"/>
  <c r="M26" i="76"/>
  <c r="M27" i="76"/>
  <c r="M28" i="76"/>
  <c r="M29" i="76"/>
  <c r="M30" i="76"/>
  <c r="M31" i="76"/>
  <c r="M32" i="76"/>
  <c r="M33" i="76"/>
  <c r="M34" i="76"/>
  <c r="M35" i="76"/>
  <c r="M36" i="76"/>
  <c r="M37" i="76"/>
  <c r="M38" i="76"/>
  <c r="M39" i="76"/>
  <c r="M40" i="76"/>
  <c r="M41" i="76"/>
  <c r="M42" i="76"/>
  <c r="M43" i="76"/>
  <c r="M44" i="76"/>
  <c r="D13" i="75"/>
  <c r="M13" i="75"/>
  <c r="E13" i="75"/>
  <c r="M14" i="75"/>
  <c r="M15" i="75"/>
  <c r="M16" i="75"/>
  <c r="M17" i="75"/>
  <c r="M18" i="75"/>
  <c r="M19" i="75"/>
  <c r="M20" i="75"/>
  <c r="M21" i="75"/>
  <c r="M22" i="75"/>
  <c r="M23" i="75"/>
  <c r="M24" i="75"/>
  <c r="M25" i="75"/>
  <c r="M26" i="75"/>
  <c r="M27" i="75"/>
  <c r="M28" i="75"/>
  <c r="M29" i="75"/>
  <c r="M30" i="75"/>
  <c r="M31" i="75"/>
  <c r="M32" i="75"/>
  <c r="M33" i="75"/>
  <c r="M34" i="75"/>
  <c r="M35" i="75"/>
  <c r="M36" i="75"/>
  <c r="M37" i="75"/>
  <c r="M38" i="75"/>
  <c r="M39" i="75"/>
  <c r="M40" i="75"/>
  <c r="M41" i="75"/>
  <c r="M42" i="75"/>
  <c r="M43" i="75"/>
  <c r="D52" i="91"/>
  <c r="D53" i="91"/>
  <c r="D54" i="91"/>
  <c r="D60" i="91"/>
  <c r="M22" i="91"/>
  <c r="D56" i="91"/>
  <c r="D57" i="91"/>
  <c r="D58" i="91"/>
  <c r="B51" i="92"/>
  <c r="B52" i="92"/>
  <c r="B53" i="92"/>
  <c r="B54" i="92"/>
  <c r="B56" i="92"/>
  <c r="B57" i="92"/>
  <c r="B58" i="92"/>
  <c r="B60" i="92"/>
  <c r="D52" i="92"/>
  <c r="D53" i="92"/>
  <c r="N40" i="92"/>
  <c r="C15" i="92"/>
  <c r="C16" i="92"/>
  <c r="C17" i="92"/>
  <c r="C18" i="92"/>
  <c r="C19" i="92"/>
  <c r="C20" i="92"/>
  <c r="C21" i="92"/>
  <c r="C22" i="92"/>
  <c r="C23" i="92"/>
  <c r="C24" i="92"/>
  <c r="C25" i="92"/>
  <c r="C26" i="92"/>
  <c r="C27" i="92"/>
  <c r="C28" i="92"/>
  <c r="C29" i="92"/>
  <c r="C30" i="92"/>
  <c r="C31" i="92"/>
  <c r="C32" i="92"/>
  <c r="C33" i="92"/>
  <c r="C34" i="92"/>
  <c r="C35" i="92"/>
  <c r="C36" i="92"/>
  <c r="C37" i="92"/>
  <c r="C38" i="92"/>
  <c r="C39" i="92"/>
  <c r="C40" i="92"/>
  <c r="B40" i="92"/>
  <c r="B82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A40" i="92"/>
  <c r="O40" i="92"/>
  <c r="P40" i="92"/>
  <c r="N41" i="92"/>
  <c r="C41" i="92"/>
  <c r="B41" i="92"/>
  <c r="A41" i="92"/>
  <c r="O41" i="92"/>
  <c r="P41" i="92"/>
  <c r="N42" i="92"/>
  <c r="C42" i="92"/>
  <c r="B42" i="92"/>
  <c r="A42" i="92"/>
  <c r="O42" i="92"/>
  <c r="P42" i="92"/>
  <c r="D54" i="92"/>
  <c r="D60" i="92"/>
  <c r="D56" i="92"/>
  <c r="D57" i="92"/>
  <c r="D58" i="92"/>
  <c r="B51" i="91"/>
  <c r="B52" i="91"/>
  <c r="B53" i="91"/>
  <c r="B54" i="91"/>
  <c r="B56" i="91"/>
  <c r="B57" i="91"/>
  <c r="B58" i="91"/>
  <c r="B60" i="91"/>
  <c r="D5" i="16"/>
  <c r="N14" i="81"/>
  <c r="B14" i="81"/>
  <c r="A14" i="81"/>
  <c r="O14" i="81"/>
  <c r="N15" i="81"/>
  <c r="C15" i="81"/>
  <c r="B15" i="81"/>
  <c r="A15" i="81"/>
  <c r="O15" i="81"/>
  <c r="N16" i="81"/>
  <c r="C16" i="81"/>
  <c r="B16" i="81"/>
  <c r="A16" i="81"/>
  <c r="O16" i="81"/>
  <c r="C17" i="81"/>
  <c r="B17" i="81"/>
  <c r="A17" i="81"/>
  <c r="N17" i="81"/>
  <c r="O17" i="81"/>
  <c r="C18" i="81"/>
  <c r="B18" i="81"/>
  <c r="A18" i="81"/>
  <c r="N18" i="81"/>
  <c r="O18" i="81"/>
  <c r="N19" i="81"/>
  <c r="C19" i="81"/>
  <c r="B19" i="81"/>
  <c r="A19" i="81"/>
  <c r="O19" i="81"/>
  <c r="C20" i="81"/>
  <c r="B20" i="81"/>
  <c r="A20" i="81"/>
  <c r="N20" i="81"/>
  <c r="O20" i="81"/>
  <c r="C21" i="81"/>
  <c r="B21" i="81"/>
  <c r="A21" i="81"/>
  <c r="N21" i="81"/>
  <c r="O21" i="81"/>
  <c r="N22" i="81"/>
  <c r="C22" i="81"/>
  <c r="B22" i="81"/>
  <c r="A22" i="81"/>
  <c r="O22" i="81"/>
  <c r="N23" i="81"/>
  <c r="C23" i="81"/>
  <c r="B23" i="81"/>
  <c r="A23" i="81"/>
  <c r="O23" i="81"/>
  <c r="N24" i="81"/>
  <c r="C24" i="81"/>
  <c r="B24" i="81"/>
  <c r="A24" i="81"/>
  <c r="O24" i="81"/>
  <c r="C25" i="81"/>
  <c r="B25" i="81"/>
  <c r="A25" i="81"/>
  <c r="N25" i="81"/>
  <c r="O25" i="81"/>
  <c r="C26" i="81"/>
  <c r="B26" i="81"/>
  <c r="A26" i="81"/>
  <c r="N26" i="81"/>
  <c r="O26" i="81"/>
  <c r="C27" i="81"/>
  <c r="B27" i="81"/>
  <c r="A27" i="81"/>
  <c r="N27" i="81"/>
  <c r="O27" i="81"/>
  <c r="C28" i="81"/>
  <c r="B28" i="81"/>
  <c r="A28" i="81"/>
  <c r="N28" i="81"/>
  <c r="O28" i="81"/>
  <c r="N29" i="81"/>
  <c r="C29" i="81"/>
  <c r="B29" i="81"/>
  <c r="A29" i="81"/>
  <c r="O29" i="81"/>
  <c r="N30" i="81"/>
  <c r="C30" i="81"/>
  <c r="B30" i="81"/>
  <c r="A30" i="81"/>
  <c r="O30" i="81"/>
  <c r="N31" i="81"/>
  <c r="C31" i="81"/>
  <c r="B31" i="81"/>
  <c r="A31" i="81"/>
  <c r="O31" i="81"/>
  <c r="N32" i="81"/>
  <c r="C32" i="81"/>
  <c r="B32" i="81"/>
  <c r="A32" i="81"/>
  <c r="O32" i="81"/>
  <c r="C33" i="81"/>
  <c r="B33" i="81"/>
  <c r="A33" i="81"/>
  <c r="N33" i="81"/>
  <c r="O33" i="81"/>
  <c r="N34" i="81"/>
  <c r="C34" i="81"/>
  <c r="B34" i="81"/>
  <c r="A34" i="81"/>
  <c r="O34" i="81"/>
  <c r="N35" i="81"/>
  <c r="C35" i="81"/>
  <c r="B35" i="81"/>
  <c r="A35" i="81"/>
  <c r="O35" i="81"/>
  <c r="N36" i="81"/>
  <c r="C36" i="81"/>
  <c r="B36" i="81"/>
  <c r="A36" i="81"/>
  <c r="O36" i="81"/>
  <c r="N37" i="81"/>
  <c r="C37" i="81"/>
  <c r="B37" i="81"/>
  <c r="A37" i="81"/>
  <c r="O37" i="81"/>
  <c r="N38" i="81"/>
  <c r="C38" i="81"/>
  <c r="B38" i="81"/>
  <c r="A38" i="81"/>
  <c r="O38" i="81"/>
  <c r="N39" i="81"/>
  <c r="C39" i="81"/>
  <c r="B39" i="81"/>
  <c r="A39" i="81"/>
  <c r="O39" i="81"/>
  <c r="N40" i="81"/>
  <c r="C40" i="81"/>
  <c r="B40" i="81"/>
  <c r="A40" i="81"/>
  <c r="O40" i="81"/>
  <c r="N41" i="81"/>
  <c r="C41" i="81"/>
  <c r="B41" i="81"/>
  <c r="A41" i="81"/>
  <c r="O41" i="81"/>
  <c r="N42" i="81"/>
  <c r="C42" i="81"/>
  <c r="B42" i="81"/>
  <c r="A42" i="81"/>
  <c r="O42" i="81"/>
  <c r="N43" i="81"/>
  <c r="C43" i="81"/>
  <c r="B43" i="81"/>
  <c r="A43" i="81"/>
  <c r="O43" i="81"/>
  <c r="N44" i="81"/>
  <c r="C44" i="81"/>
  <c r="B44" i="81"/>
  <c r="A44" i="81"/>
  <c r="O44" i="81"/>
  <c r="E13" i="81"/>
  <c r="L14" i="81"/>
  <c r="L15" i="81"/>
  <c r="L16" i="81"/>
  <c r="L17" i="81"/>
  <c r="L18" i="81"/>
  <c r="L19" i="81"/>
  <c r="L20" i="81"/>
  <c r="L21" i="81"/>
  <c r="L22" i="81"/>
  <c r="L23" i="81"/>
  <c r="L24" i="81"/>
  <c r="L25" i="81"/>
  <c r="L26" i="81"/>
  <c r="L27" i="81"/>
  <c r="L28" i="81"/>
  <c r="L29" i="81"/>
  <c r="L30" i="81"/>
  <c r="L31" i="81"/>
  <c r="L32" i="81"/>
  <c r="L33" i="81"/>
  <c r="L34" i="81"/>
  <c r="L35" i="81"/>
  <c r="L36" i="81"/>
  <c r="L37" i="81"/>
  <c r="L38" i="81"/>
  <c r="L39" i="81"/>
  <c r="L40" i="81"/>
  <c r="L41" i="81"/>
  <c r="L42" i="81"/>
  <c r="L43" i="81"/>
  <c r="L44" i="81"/>
  <c r="AA14" i="81"/>
  <c r="AA15" i="81"/>
  <c r="AA16" i="81"/>
  <c r="AA17" i="81"/>
  <c r="AA18" i="81"/>
  <c r="AA19" i="81"/>
  <c r="AA20" i="81"/>
  <c r="AA21" i="81"/>
  <c r="AA22" i="81"/>
  <c r="AA23" i="81"/>
  <c r="AA24" i="81"/>
  <c r="AA25" i="81"/>
  <c r="AA26" i="81"/>
  <c r="AA27" i="81"/>
  <c r="AA28" i="81"/>
  <c r="AA29" i="81"/>
  <c r="AA30" i="81"/>
  <c r="AA31" i="81"/>
  <c r="AA32" i="81"/>
  <c r="AA33" i="81"/>
  <c r="AA34" i="81"/>
  <c r="AA35" i="81"/>
  <c r="AA36" i="81"/>
  <c r="AA37" i="81"/>
  <c r="AA38" i="81"/>
  <c r="AA39" i="81"/>
  <c r="AA40" i="81"/>
  <c r="AA41" i="81"/>
  <c r="AA42" i="81"/>
  <c r="AA43" i="81"/>
  <c r="AA44" i="81"/>
  <c r="AA51" i="81"/>
  <c r="AA52" i="81"/>
  <c r="AB14" i="81"/>
  <c r="AB15" i="81"/>
  <c r="AB16" i="81"/>
  <c r="AB17" i="81"/>
  <c r="AB18" i="81"/>
  <c r="AB19" i="81"/>
  <c r="AB20" i="81"/>
  <c r="AB21" i="81"/>
  <c r="AB22" i="81"/>
  <c r="AB23" i="81"/>
  <c r="AB24" i="81"/>
  <c r="AB25" i="81"/>
  <c r="AB26" i="81"/>
  <c r="AB27" i="81"/>
  <c r="AB28" i="81"/>
  <c r="AB29" i="81"/>
  <c r="AB30" i="81"/>
  <c r="AB31" i="81"/>
  <c r="AB32" i="81"/>
  <c r="AB33" i="81"/>
  <c r="AB34" i="81"/>
  <c r="AB35" i="81"/>
  <c r="AB36" i="81"/>
  <c r="AB37" i="81"/>
  <c r="AB38" i="81"/>
  <c r="AB39" i="81"/>
  <c r="AB40" i="81"/>
  <c r="AB41" i="81"/>
  <c r="AB42" i="81"/>
  <c r="AB43" i="81"/>
  <c r="AB44" i="81"/>
  <c r="A111" i="3"/>
  <c r="B111" i="3"/>
  <c r="D111" i="3"/>
  <c r="G111" i="3"/>
  <c r="I111" i="3"/>
  <c r="J111" i="3"/>
  <c r="D13" i="81"/>
  <c r="L13" i="81"/>
  <c r="AD14" i="81"/>
  <c r="AD15" i="81"/>
  <c r="AD16" i="81"/>
  <c r="AD17" i="81"/>
  <c r="AD18" i="81"/>
  <c r="AD19" i="81"/>
  <c r="AD20" i="81"/>
  <c r="AD21" i="81"/>
  <c r="AD22" i="81"/>
  <c r="AD23" i="81"/>
  <c r="AD24" i="81"/>
  <c r="AD25" i="81"/>
  <c r="AD26" i="81"/>
  <c r="AD27" i="81"/>
  <c r="AD28" i="81"/>
  <c r="AD29" i="81"/>
  <c r="AD30" i="81"/>
  <c r="AD31" i="81"/>
  <c r="AD32" i="81"/>
  <c r="AD33" i="81"/>
  <c r="AD34" i="81"/>
  <c r="AD35" i="81"/>
  <c r="AD36" i="81"/>
  <c r="AD37" i="81"/>
  <c r="AD38" i="81"/>
  <c r="AD39" i="81"/>
  <c r="AD40" i="81"/>
  <c r="AD41" i="81"/>
  <c r="AD42" i="81"/>
  <c r="AD43" i="81"/>
  <c r="AD44" i="81"/>
  <c r="AD51" i="81"/>
  <c r="A100" i="3"/>
  <c r="A101" i="3"/>
  <c r="A102" i="3"/>
  <c r="B100" i="3"/>
  <c r="C100" i="3"/>
  <c r="D100" i="3"/>
  <c r="E100" i="3"/>
  <c r="I100" i="3"/>
  <c r="G100" i="3"/>
  <c r="B101" i="3"/>
  <c r="C101" i="3"/>
  <c r="D101" i="3"/>
  <c r="E101" i="3"/>
  <c r="I101" i="3"/>
  <c r="G101" i="3"/>
  <c r="B102" i="3"/>
  <c r="C102" i="3"/>
  <c r="D102" i="3"/>
  <c r="E102" i="3"/>
  <c r="I102" i="3"/>
  <c r="G102" i="3"/>
  <c r="A103" i="3"/>
  <c r="B103" i="3"/>
  <c r="C103" i="3"/>
  <c r="D103" i="3"/>
  <c r="E103" i="3"/>
  <c r="I103" i="3"/>
  <c r="G103" i="3"/>
  <c r="A104" i="3"/>
  <c r="B104" i="3"/>
  <c r="C104" i="3"/>
  <c r="D104" i="3"/>
  <c r="E104" i="3"/>
  <c r="I104" i="3"/>
  <c r="G104" i="3"/>
  <c r="A105" i="3"/>
  <c r="B105" i="3"/>
  <c r="C105" i="3"/>
  <c r="D105" i="3"/>
  <c r="E105" i="3"/>
  <c r="I105" i="3"/>
  <c r="G105" i="3"/>
  <c r="A106" i="3"/>
  <c r="B106" i="3"/>
  <c r="C106" i="3"/>
  <c r="D106" i="3"/>
  <c r="E106" i="3"/>
  <c r="I106" i="3"/>
  <c r="G106" i="3"/>
  <c r="A107" i="3"/>
  <c r="B107" i="3"/>
  <c r="C107" i="3"/>
  <c r="D107" i="3"/>
  <c r="E107" i="3"/>
  <c r="I107" i="3"/>
  <c r="G107" i="3"/>
  <c r="A108" i="3"/>
  <c r="B108" i="3"/>
  <c r="C108" i="3"/>
  <c r="D108" i="3"/>
  <c r="E108" i="3"/>
  <c r="I108" i="3"/>
  <c r="G108" i="3"/>
  <c r="A109" i="3"/>
  <c r="B109" i="3"/>
  <c r="C109" i="3"/>
  <c r="D109" i="3"/>
  <c r="E109" i="3"/>
  <c r="I109" i="3"/>
  <c r="G109" i="3"/>
  <c r="A110" i="3"/>
  <c r="B110" i="3"/>
  <c r="C110" i="3"/>
  <c r="D110" i="3"/>
  <c r="E110" i="3"/>
  <c r="I110" i="3"/>
  <c r="G110" i="3"/>
  <c r="C111" i="3"/>
  <c r="E111" i="3"/>
  <c r="C82" i="3"/>
  <c r="A112" i="3"/>
  <c r="B112" i="3"/>
  <c r="D112" i="3"/>
  <c r="G112" i="3"/>
  <c r="A113" i="3"/>
  <c r="B113" i="3"/>
  <c r="D113" i="3"/>
  <c r="G113" i="3"/>
  <c r="A114" i="3"/>
  <c r="B114" i="3"/>
  <c r="D114" i="3"/>
  <c r="G114" i="3"/>
  <c r="A115" i="3"/>
  <c r="B115" i="3"/>
  <c r="D115" i="3"/>
  <c r="G115" i="3"/>
  <c r="A116" i="3"/>
  <c r="B116" i="3"/>
  <c r="D116" i="3"/>
  <c r="G116" i="3"/>
  <c r="A117" i="3"/>
  <c r="B117" i="3"/>
  <c r="D117" i="3"/>
  <c r="G117" i="3"/>
  <c r="A118" i="3"/>
  <c r="B118" i="3"/>
  <c r="D118" i="3"/>
  <c r="G118" i="3"/>
  <c r="A119" i="3"/>
  <c r="B119" i="3"/>
  <c r="D119" i="3"/>
  <c r="G119" i="3"/>
  <c r="A120" i="3"/>
  <c r="B120" i="3"/>
  <c r="D120" i="3"/>
  <c r="G120" i="3"/>
  <c r="A121" i="3"/>
  <c r="B121" i="3"/>
  <c r="D121" i="3"/>
  <c r="G121" i="3"/>
  <c r="A122" i="3"/>
  <c r="B122" i="3"/>
  <c r="D122" i="3"/>
  <c r="G122" i="3"/>
  <c r="A123" i="3"/>
  <c r="B123" i="3"/>
  <c r="D123" i="3"/>
  <c r="G123" i="3"/>
  <c r="N14" i="84"/>
  <c r="B14" i="84"/>
  <c r="A14" i="84"/>
  <c r="O14" i="84"/>
  <c r="C15" i="84"/>
  <c r="B15" i="84"/>
  <c r="A15" i="84"/>
  <c r="N15" i="84"/>
  <c r="O15" i="84"/>
  <c r="N16" i="84"/>
  <c r="C16" i="84"/>
  <c r="B16" i="84"/>
  <c r="A16" i="84"/>
  <c r="O16" i="84"/>
  <c r="N17" i="84"/>
  <c r="C17" i="84"/>
  <c r="B17" i="84"/>
  <c r="A17" i="84"/>
  <c r="O17" i="84"/>
  <c r="N18" i="84"/>
  <c r="C18" i="84"/>
  <c r="B18" i="84"/>
  <c r="A18" i="84"/>
  <c r="O18" i="84"/>
  <c r="N19" i="84"/>
  <c r="C19" i="84"/>
  <c r="B19" i="84"/>
  <c r="A19" i="84"/>
  <c r="O19" i="84"/>
  <c r="C20" i="84"/>
  <c r="B20" i="84"/>
  <c r="A20" i="84"/>
  <c r="N20" i="84"/>
  <c r="O20" i="84"/>
  <c r="C21" i="84"/>
  <c r="B21" i="84"/>
  <c r="A21" i="84"/>
  <c r="N21" i="84"/>
  <c r="O21" i="84"/>
  <c r="C22" i="84"/>
  <c r="B22" i="84"/>
  <c r="A22" i="84"/>
  <c r="N22" i="84"/>
  <c r="O22" i="84"/>
  <c r="N23" i="84"/>
  <c r="C23" i="84"/>
  <c r="B23" i="84"/>
  <c r="A23" i="84"/>
  <c r="O23" i="84"/>
  <c r="N24" i="84"/>
  <c r="C24" i="84"/>
  <c r="B24" i="84"/>
  <c r="A24" i="84"/>
  <c r="O24" i="84"/>
  <c r="N25" i="84"/>
  <c r="C25" i="84"/>
  <c r="B25" i="84"/>
  <c r="A25" i="84"/>
  <c r="O25" i="84"/>
  <c r="N26" i="84"/>
  <c r="C26" i="84"/>
  <c r="B26" i="84"/>
  <c r="A26" i="84"/>
  <c r="O26" i="84"/>
  <c r="N27" i="84"/>
  <c r="C27" i="84"/>
  <c r="B27" i="84"/>
  <c r="A27" i="84"/>
  <c r="O27" i="84"/>
  <c r="N28" i="84"/>
  <c r="C28" i="84"/>
  <c r="B28" i="84"/>
  <c r="A28" i="84"/>
  <c r="O28" i="84"/>
  <c r="N29" i="84"/>
  <c r="C29" i="84"/>
  <c r="B29" i="84"/>
  <c r="A29" i="84"/>
  <c r="O29" i="84"/>
  <c r="N30" i="84"/>
  <c r="C30" i="84"/>
  <c r="B30" i="84"/>
  <c r="A30" i="84"/>
  <c r="O30" i="84"/>
  <c r="N31" i="84"/>
  <c r="C31" i="84"/>
  <c r="B31" i="84"/>
  <c r="A31" i="84"/>
  <c r="O31" i="84"/>
  <c r="N32" i="84"/>
  <c r="C32" i="84"/>
  <c r="B32" i="84"/>
  <c r="A32" i="84"/>
  <c r="O32" i="84"/>
  <c r="C33" i="84"/>
  <c r="B33" i="84"/>
  <c r="A33" i="84"/>
  <c r="N33" i="84"/>
  <c r="O33" i="84"/>
  <c r="C34" i="84"/>
  <c r="B34" i="84"/>
  <c r="A34" i="84"/>
  <c r="N34" i="84"/>
  <c r="O34" i="84"/>
  <c r="C35" i="84"/>
  <c r="B35" i="84"/>
  <c r="A35" i="84"/>
  <c r="N35" i="84"/>
  <c r="O35" i="84"/>
  <c r="C36" i="84"/>
  <c r="B36" i="84"/>
  <c r="A36" i="84"/>
  <c r="N36" i="84"/>
  <c r="O36" i="84"/>
  <c r="C37" i="84"/>
  <c r="B37" i="84"/>
  <c r="A37" i="84"/>
  <c r="N37" i="84"/>
  <c r="O37" i="84"/>
  <c r="N38" i="84"/>
  <c r="C38" i="84"/>
  <c r="B38" i="84"/>
  <c r="A38" i="84"/>
  <c r="O38" i="84"/>
  <c r="N39" i="84"/>
  <c r="C39" i="84"/>
  <c r="B39" i="84"/>
  <c r="A39" i="84"/>
  <c r="O39" i="84"/>
  <c r="N40" i="84"/>
  <c r="C40" i="84"/>
  <c r="B40" i="84"/>
  <c r="A40" i="84"/>
  <c r="O40" i="84"/>
  <c r="N41" i="84"/>
  <c r="C41" i="84"/>
  <c r="B41" i="84"/>
  <c r="A41" i="84"/>
  <c r="O41" i="84"/>
  <c r="C42" i="84"/>
  <c r="B42" i="84"/>
  <c r="A42" i="84"/>
  <c r="N42" i="84"/>
  <c r="O42" i="84"/>
  <c r="C43" i="84"/>
  <c r="B43" i="84"/>
  <c r="A43" i="84"/>
  <c r="N43" i="84"/>
  <c r="O43" i="84"/>
  <c r="L14" i="84"/>
  <c r="L15" i="84"/>
  <c r="L16" i="84"/>
  <c r="L17" i="84"/>
  <c r="L18" i="84"/>
  <c r="L19" i="84"/>
  <c r="L20" i="84"/>
  <c r="L21" i="84"/>
  <c r="L22" i="84"/>
  <c r="L23" i="84"/>
  <c r="L24" i="84"/>
  <c r="L25" i="84"/>
  <c r="L26" i="84"/>
  <c r="L27" i="84"/>
  <c r="L28" i="84"/>
  <c r="L29" i="84"/>
  <c r="L30" i="84"/>
  <c r="L31" i="84"/>
  <c r="L32" i="84"/>
  <c r="L33" i="84"/>
  <c r="L34" i="84"/>
  <c r="L35" i="84"/>
  <c r="L36" i="84"/>
  <c r="L37" i="84"/>
  <c r="L38" i="84"/>
  <c r="L39" i="84"/>
  <c r="L40" i="84"/>
  <c r="L41" i="84"/>
  <c r="L42" i="84"/>
  <c r="L44" i="84"/>
  <c r="L43" i="84"/>
  <c r="E13" i="84"/>
  <c r="AA14" i="84"/>
  <c r="AA15" i="84"/>
  <c r="AA16" i="84"/>
  <c r="AA17" i="84"/>
  <c r="AA18" i="84"/>
  <c r="AA19" i="84"/>
  <c r="AA20" i="84"/>
  <c r="AA21" i="84"/>
  <c r="AA22" i="84"/>
  <c r="AA23" i="84"/>
  <c r="AA24" i="84"/>
  <c r="AA25" i="84"/>
  <c r="AA26" i="84"/>
  <c r="AA27" i="84"/>
  <c r="AA28" i="84"/>
  <c r="AA29" i="84"/>
  <c r="AA30" i="84"/>
  <c r="AA31" i="84"/>
  <c r="AA32" i="84"/>
  <c r="AA33" i="84"/>
  <c r="AA34" i="84"/>
  <c r="AA35" i="84"/>
  <c r="AA36" i="84"/>
  <c r="AA37" i="84"/>
  <c r="AA38" i="84"/>
  <c r="AA39" i="84"/>
  <c r="AA40" i="84"/>
  <c r="AA41" i="84"/>
  <c r="AA42" i="84"/>
  <c r="AA43" i="84"/>
  <c r="AA51" i="84"/>
  <c r="AA52" i="84"/>
  <c r="AB14" i="84"/>
  <c r="AB15" i="84"/>
  <c r="AB16" i="84"/>
  <c r="AB17" i="84"/>
  <c r="AB18" i="84"/>
  <c r="AB19" i="84"/>
  <c r="AB20" i="84"/>
  <c r="AB21" i="84"/>
  <c r="AB22" i="84"/>
  <c r="AB23" i="84"/>
  <c r="AB24" i="84"/>
  <c r="AB25" i="84"/>
  <c r="AB26" i="84"/>
  <c r="AB27" i="84"/>
  <c r="AB28" i="84"/>
  <c r="AB29" i="84"/>
  <c r="AB30" i="84"/>
  <c r="AB31" i="84"/>
  <c r="AB32" i="84"/>
  <c r="AB33" i="84"/>
  <c r="AB34" i="84"/>
  <c r="AB35" i="84"/>
  <c r="AB36" i="84"/>
  <c r="AB37" i="84"/>
  <c r="AB38" i="84"/>
  <c r="AB39" i="84"/>
  <c r="AB40" i="84"/>
  <c r="AB41" i="84"/>
  <c r="AB42" i="84"/>
  <c r="AB43" i="84"/>
  <c r="J110" i="3"/>
  <c r="D13" i="84"/>
  <c r="L13" i="84"/>
  <c r="AD14" i="84"/>
  <c r="AD15" i="84"/>
  <c r="AD16" i="84"/>
  <c r="AD17" i="84"/>
  <c r="AD18" i="84"/>
  <c r="AD19" i="84"/>
  <c r="AD20" i="84"/>
  <c r="AD21" i="84"/>
  <c r="AD22" i="84"/>
  <c r="AD23" i="84"/>
  <c r="AD24" i="84"/>
  <c r="AD25" i="84"/>
  <c r="AD26" i="84"/>
  <c r="AD27" i="84"/>
  <c r="AD28" i="84"/>
  <c r="AD29" i="84"/>
  <c r="AD30" i="84"/>
  <c r="AD31" i="84"/>
  <c r="AD32" i="84"/>
  <c r="AD33" i="84"/>
  <c r="AD34" i="84"/>
  <c r="AD35" i="84"/>
  <c r="AD36" i="84"/>
  <c r="AD37" i="84"/>
  <c r="AD38" i="84"/>
  <c r="AD39" i="84"/>
  <c r="AD40" i="84"/>
  <c r="AD41" i="84"/>
  <c r="AD42" i="84"/>
  <c r="AD43" i="84"/>
  <c r="AD51" i="84"/>
  <c r="N14" i="80"/>
  <c r="B14" i="80"/>
  <c r="A14" i="80"/>
  <c r="O14" i="80"/>
  <c r="N15" i="80"/>
  <c r="C15" i="80"/>
  <c r="B15" i="80"/>
  <c r="A15" i="80"/>
  <c r="O15" i="80"/>
  <c r="N16" i="80"/>
  <c r="C16" i="80"/>
  <c r="B16" i="80"/>
  <c r="A16" i="80"/>
  <c r="O16" i="80"/>
  <c r="C17" i="80"/>
  <c r="B17" i="80"/>
  <c r="A17" i="80"/>
  <c r="N17" i="80"/>
  <c r="O17" i="80"/>
  <c r="N18" i="80"/>
  <c r="C18" i="80"/>
  <c r="B18" i="80"/>
  <c r="A18" i="80"/>
  <c r="O18" i="80"/>
  <c r="N19" i="80"/>
  <c r="C19" i="80"/>
  <c r="B19" i="80"/>
  <c r="A19" i="80"/>
  <c r="O19" i="80"/>
  <c r="N20" i="80"/>
  <c r="C20" i="80"/>
  <c r="B20" i="80"/>
  <c r="A20" i="80"/>
  <c r="O20" i="80"/>
  <c r="N21" i="80"/>
  <c r="C21" i="80"/>
  <c r="B21" i="80"/>
  <c r="A21" i="80"/>
  <c r="O21" i="80"/>
  <c r="N22" i="80"/>
  <c r="C22" i="80"/>
  <c r="B22" i="80"/>
  <c r="A22" i="80"/>
  <c r="O22" i="80"/>
  <c r="N23" i="80"/>
  <c r="C23" i="80"/>
  <c r="B23" i="80"/>
  <c r="A23" i="80"/>
  <c r="O23" i="80"/>
  <c r="N24" i="80"/>
  <c r="C24" i="80"/>
  <c r="B24" i="80"/>
  <c r="A24" i="80"/>
  <c r="O24" i="80"/>
  <c r="N25" i="80"/>
  <c r="C25" i="80"/>
  <c r="B25" i="80"/>
  <c r="A25" i="80"/>
  <c r="O25" i="80"/>
  <c r="N26" i="80"/>
  <c r="C26" i="80"/>
  <c r="B26" i="80"/>
  <c r="A26" i="80"/>
  <c r="O26" i="80"/>
  <c r="N27" i="80"/>
  <c r="C27" i="80"/>
  <c r="B27" i="80"/>
  <c r="A27" i="80"/>
  <c r="O27" i="80"/>
  <c r="N28" i="80"/>
  <c r="C28" i="80"/>
  <c r="B28" i="80"/>
  <c r="A28" i="80"/>
  <c r="O28" i="80"/>
  <c r="N29" i="80"/>
  <c r="C29" i="80"/>
  <c r="B29" i="80"/>
  <c r="A29" i="80"/>
  <c r="O29" i="80"/>
  <c r="N30" i="80"/>
  <c r="C30" i="80"/>
  <c r="B30" i="80"/>
  <c r="A30" i="80"/>
  <c r="O30" i="80"/>
  <c r="N31" i="80"/>
  <c r="C31" i="80"/>
  <c r="B31" i="80"/>
  <c r="A31" i="80"/>
  <c r="O31" i="80"/>
  <c r="N32" i="80"/>
  <c r="C32" i="80"/>
  <c r="B32" i="80"/>
  <c r="A32" i="80"/>
  <c r="O32" i="80"/>
  <c r="N33" i="80"/>
  <c r="C33" i="80"/>
  <c r="B33" i="80"/>
  <c r="A33" i="80"/>
  <c r="O33" i="80"/>
  <c r="N34" i="80"/>
  <c r="C34" i="80"/>
  <c r="B34" i="80"/>
  <c r="A34" i="80"/>
  <c r="O34" i="80"/>
  <c r="N35" i="80"/>
  <c r="C35" i="80"/>
  <c r="B35" i="80"/>
  <c r="A35" i="80"/>
  <c r="O35" i="80"/>
  <c r="N36" i="80"/>
  <c r="C36" i="80"/>
  <c r="B36" i="80"/>
  <c r="A36" i="80"/>
  <c r="O36" i="80"/>
  <c r="C37" i="80"/>
  <c r="B37" i="80"/>
  <c r="A37" i="80"/>
  <c r="N37" i="80"/>
  <c r="O37" i="80"/>
  <c r="N38" i="80"/>
  <c r="C38" i="80"/>
  <c r="B38" i="80"/>
  <c r="A38" i="80"/>
  <c r="O38" i="80"/>
  <c r="N39" i="80"/>
  <c r="C39" i="80"/>
  <c r="B39" i="80"/>
  <c r="A39" i="80"/>
  <c r="O39" i="80"/>
  <c r="C40" i="80"/>
  <c r="B40" i="80"/>
  <c r="A40" i="80"/>
  <c r="N40" i="80"/>
  <c r="O40" i="80"/>
  <c r="N41" i="80"/>
  <c r="C41" i="80"/>
  <c r="B41" i="80"/>
  <c r="A41" i="80"/>
  <c r="O41" i="80"/>
  <c r="N42" i="80"/>
  <c r="C42" i="80"/>
  <c r="B42" i="80"/>
  <c r="A42" i="80"/>
  <c r="O42" i="80"/>
  <c r="C43" i="80"/>
  <c r="B43" i="80"/>
  <c r="A43" i="80"/>
  <c r="N43" i="80"/>
  <c r="O43" i="80"/>
  <c r="C44" i="80"/>
  <c r="B44" i="80"/>
  <c r="A44" i="80"/>
  <c r="N44" i="80"/>
  <c r="O44" i="80"/>
  <c r="L14" i="80"/>
  <c r="L15" i="80"/>
  <c r="L16" i="80"/>
  <c r="L17" i="80"/>
  <c r="L18" i="80"/>
  <c r="AA19" i="80"/>
  <c r="AE19" i="80"/>
  <c r="L19" i="80"/>
  <c r="L20" i="80"/>
  <c r="L21" i="80"/>
  <c r="L22" i="80"/>
  <c r="L23" i="80"/>
  <c r="L24" i="80"/>
  <c r="L25" i="80"/>
  <c r="L26" i="80"/>
  <c r="L27" i="80"/>
  <c r="L28" i="80"/>
  <c r="L29" i="80"/>
  <c r="L30" i="80"/>
  <c r="L31" i="80"/>
  <c r="L32" i="80"/>
  <c r="L33" i="80"/>
  <c r="L34" i="80"/>
  <c r="L35" i="80"/>
  <c r="L36" i="80"/>
  <c r="L37" i="80"/>
  <c r="L38" i="80"/>
  <c r="L39" i="80"/>
  <c r="L40" i="80"/>
  <c r="L41" i="80"/>
  <c r="L42" i="80"/>
  <c r="L43" i="80"/>
  <c r="L44" i="80"/>
  <c r="E13" i="80"/>
  <c r="AA14" i="80"/>
  <c r="AA15" i="80"/>
  <c r="AA16" i="80"/>
  <c r="AA17" i="80"/>
  <c r="AA18" i="80"/>
  <c r="AA20" i="80"/>
  <c r="AA21" i="80"/>
  <c r="AA22" i="80"/>
  <c r="AA23" i="80"/>
  <c r="AA24" i="80"/>
  <c r="AA25" i="80"/>
  <c r="AA26" i="80"/>
  <c r="AA27" i="80"/>
  <c r="AA28" i="80"/>
  <c r="AA29" i="80"/>
  <c r="AA30" i="80"/>
  <c r="AA31" i="80"/>
  <c r="AA32" i="80"/>
  <c r="AA33" i="80"/>
  <c r="AA34" i="80"/>
  <c r="AA35" i="80"/>
  <c r="AA36" i="80"/>
  <c r="AA37" i="80"/>
  <c r="AA38" i="80"/>
  <c r="AA39" i="80"/>
  <c r="AA40" i="80"/>
  <c r="AA41" i="80"/>
  <c r="AA42" i="80"/>
  <c r="AA43" i="80"/>
  <c r="AA44" i="80"/>
  <c r="AA51" i="80"/>
  <c r="AA52" i="80"/>
  <c r="AB14" i="80"/>
  <c r="AB15" i="80"/>
  <c r="AB16" i="80"/>
  <c r="AB17" i="80"/>
  <c r="AB18" i="80"/>
  <c r="AB19" i="80"/>
  <c r="AB20" i="80"/>
  <c r="AB21" i="80"/>
  <c r="AB22" i="80"/>
  <c r="AB23" i="80"/>
  <c r="AB24" i="80"/>
  <c r="AB25" i="80"/>
  <c r="AB26" i="80"/>
  <c r="AB27" i="80"/>
  <c r="AB28" i="80"/>
  <c r="AB29" i="80"/>
  <c r="AB30" i="80"/>
  <c r="AB31" i="80"/>
  <c r="AB32" i="80"/>
  <c r="AB33" i="80"/>
  <c r="AB34" i="80"/>
  <c r="AB35" i="80"/>
  <c r="AB36" i="80"/>
  <c r="AB37" i="80"/>
  <c r="AB38" i="80"/>
  <c r="AB39" i="80"/>
  <c r="AB40" i="80"/>
  <c r="AB41" i="80"/>
  <c r="AB42" i="80"/>
  <c r="AB43" i="80"/>
  <c r="AB44" i="80"/>
  <c r="J109" i="3"/>
  <c r="D13" i="80"/>
  <c r="L13" i="80"/>
  <c r="AD14" i="80"/>
  <c r="AD15" i="80"/>
  <c r="AD16" i="80"/>
  <c r="AD17" i="80"/>
  <c r="AD18" i="80"/>
  <c r="AD19" i="80"/>
  <c r="AD20" i="80"/>
  <c r="AD21" i="80"/>
  <c r="AD22" i="80"/>
  <c r="AD23" i="80"/>
  <c r="AD24" i="80"/>
  <c r="AD25" i="80"/>
  <c r="AD26" i="80"/>
  <c r="AD27" i="80"/>
  <c r="AD28" i="80"/>
  <c r="AD29" i="80"/>
  <c r="AD30" i="80"/>
  <c r="AD31" i="80"/>
  <c r="AD32" i="80"/>
  <c r="AD33" i="80"/>
  <c r="AD34" i="80"/>
  <c r="AD35" i="80"/>
  <c r="AD36" i="80"/>
  <c r="AD37" i="80"/>
  <c r="AD38" i="80"/>
  <c r="AD39" i="80"/>
  <c r="AD40" i="80"/>
  <c r="AD41" i="80"/>
  <c r="AD42" i="80"/>
  <c r="AD43" i="80"/>
  <c r="AD44" i="80"/>
  <c r="AD51" i="80"/>
  <c r="B14" i="83"/>
  <c r="A14" i="83"/>
  <c r="N14" i="83"/>
  <c r="O14" i="83"/>
  <c r="N15" i="83"/>
  <c r="C15" i="83"/>
  <c r="B15" i="83"/>
  <c r="A15" i="83"/>
  <c r="O15" i="83"/>
  <c r="N16" i="83"/>
  <c r="C16" i="83"/>
  <c r="B16" i="83"/>
  <c r="A16" i="83"/>
  <c r="O16" i="83"/>
  <c r="N17" i="83"/>
  <c r="C17" i="83"/>
  <c r="B17" i="83"/>
  <c r="A17" i="83"/>
  <c r="O17" i="83"/>
  <c r="N18" i="83"/>
  <c r="C18" i="83"/>
  <c r="B18" i="83"/>
  <c r="A18" i="83"/>
  <c r="O18" i="83"/>
  <c r="C19" i="83"/>
  <c r="B19" i="83"/>
  <c r="A19" i="83"/>
  <c r="N19" i="83"/>
  <c r="O19" i="83"/>
  <c r="C20" i="83"/>
  <c r="B20" i="83"/>
  <c r="A20" i="83"/>
  <c r="N20" i="83"/>
  <c r="O20" i="83"/>
  <c r="C21" i="83"/>
  <c r="B21" i="83"/>
  <c r="A21" i="83"/>
  <c r="N21" i="83"/>
  <c r="O21" i="83"/>
  <c r="N22" i="83"/>
  <c r="C22" i="83"/>
  <c r="B22" i="83"/>
  <c r="A22" i="83"/>
  <c r="O22" i="83"/>
  <c r="N23" i="83"/>
  <c r="C23" i="83"/>
  <c r="B23" i="83"/>
  <c r="A23" i="83"/>
  <c r="O23" i="83"/>
  <c r="N24" i="83"/>
  <c r="C24" i="83"/>
  <c r="B24" i="83"/>
  <c r="A24" i="83"/>
  <c r="O24" i="83"/>
  <c r="N25" i="83"/>
  <c r="C25" i="83"/>
  <c r="B25" i="83"/>
  <c r="A25" i="83"/>
  <c r="O25" i="83"/>
  <c r="N26" i="83"/>
  <c r="C26" i="83"/>
  <c r="B26" i="83"/>
  <c r="A26" i="83"/>
  <c r="O26" i="83"/>
  <c r="N27" i="83"/>
  <c r="C27" i="83"/>
  <c r="B27" i="83"/>
  <c r="A27" i="83"/>
  <c r="O27" i="83"/>
  <c r="N28" i="83"/>
  <c r="C28" i="83"/>
  <c r="B28" i="83"/>
  <c r="A28" i="83"/>
  <c r="O28" i="83"/>
  <c r="N29" i="83"/>
  <c r="C29" i="83"/>
  <c r="B29" i="83"/>
  <c r="A29" i="83"/>
  <c r="O29" i="83"/>
  <c r="N30" i="83"/>
  <c r="C30" i="83"/>
  <c r="B30" i="83"/>
  <c r="A30" i="83"/>
  <c r="O30" i="83"/>
  <c r="N31" i="83"/>
  <c r="C31" i="83"/>
  <c r="B31" i="83"/>
  <c r="A31" i="83"/>
  <c r="O31" i="83"/>
  <c r="N32" i="83"/>
  <c r="C32" i="83"/>
  <c r="B32" i="83"/>
  <c r="A32" i="83"/>
  <c r="O32" i="83"/>
  <c r="N33" i="83"/>
  <c r="C33" i="83"/>
  <c r="B33" i="83"/>
  <c r="A33" i="83"/>
  <c r="O33" i="83"/>
  <c r="N34" i="83"/>
  <c r="C34" i="83"/>
  <c r="B34" i="83"/>
  <c r="A34" i="83"/>
  <c r="O34" i="83"/>
  <c r="N35" i="83"/>
  <c r="C35" i="83"/>
  <c r="B35" i="83"/>
  <c r="A35" i="83"/>
  <c r="O35" i="83"/>
  <c r="N36" i="83"/>
  <c r="C36" i="83"/>
  <c r="B36" i="83"/>
  <c r="A36" i="83"/>
  <c r="O36" i="83"/>
  <c r="N37" i="83"/>
  <c r="C37" i="83"/>
  <c r="B37" i="83"/>
  <c r="A37" i="83"/>
  <c r="O37" i="83"/>
  <c r="N38" i="83"/>
  <c r="C38" i="83"/>
  <c r="B38" i="83"/>
  <c r="A38" i="83"/>
  <c r="O38" i="83"/>
  <c r="N39" i="83"/>
  <c r="C39" i="83"/>
  <c r="B39" i="83"/>
  <c r="A39" i="83"/>
  <c r="O39" i="83"/>
  <c r="N40" i="83"/>
  <c r="C40" i="83"/>
  <c r="B40" i="83"/>
  <c r="A40" i="83"/>
  <c r="O40" i="83"/>
  <c r="N41" i="83"/>
  <c r="C41" i="83"/>
  <c r="B41" i="83"/>
  <c r="A41" i="83"/>
  <c r="O41" i="83"/>
  <c r="N42" i="83"/>
  <c r="C42" i="83"/>
  <c r="B42" i="83"/>
  <c r="A42" i="83"/>
  <c r="O42" i="83"/>
  <c r="N43" i="83"/>
  <c r="C43" i="83"/>
  <c r="B43" i="83"/>
  <c r="A43" i="83"/>
  <c r="O43" i="83"/>
  <c r="E13" i="83"/>
  <c r="L14" i="83"/>
  <c r="L15" i="83"/>
  <c r="L16" i="83"/>
  <c r="L17" i="83"/>
  <c r="L18" i="83"/>
  <c r="L19" i="83"/>
  <c r="L20" i="83"/>
  <c r="L21" i="83"/>
  <c r="L22" i="83"/>
  <c r="L23" i="83"/>
  <c r="L24" i="83"/>
  <c r="L25" i="83"/>
  <c r="L26" i="83"/>
  <c r="L27" i="83"/>
  <c r="L28" i="83"/>
  <c r="L29" i="83"/>
  <c r="L30" i="83"/>
  <c r="L31" i="83"/>
  <c r="L32" i="83"/>
  <c r="L33" i="83"/>
  <c r="L34" i="83"/>
  <c r="L35" i="83"/>
  <c r="L36" i="83"/>
  <c r="L37" i="83"/>
  <c r="L38" i="83"/>
  <c r="L39" i="83"/>
  <c r="L40" i="83"/>
  <c r="L41" i="83"/>
  <c r="L42" i="83"/>
  <c r="L43" i="83"/>
  <c r="AA14" i="83"/>
  <c r="AA15" i="83"/>
  <c r="AA16" i="83"/>
  <c r="AA17" i="83"/>
  <c r="AA18" i="83"/>
  <c r="AA19" i="83"/>
  <c r="AA20" i="83"/>
  <c r="AA21" i="83"/>
  <c r="AA22" i="83"/>
  <c r="AA23" i="83"/>
  <c r="AA24" i="83"/>
  <c r="AA25" i="83"/>
  <c r="AA26" i="83"/>
  <c r="AA27" i="83"/>
  <c r="AA28" i="83"/>
  <c r="AA29" i="83"/>
  <c r="AA30" i="83"/>
  <c r="AA31" i="83"/>
  <c r="AA32" i="83"/>
  <c r="AA33" i="83"/>
  <c r="AA34" i="83"/>
  <c r="AA35" i="83"/>
  <c r="AA36" i="83"/>
  <c r="AA37" i="83"/>
  <c r="AA38" i="83"/>
  <c r="AA39" i="83"/>
  <c r="AA40" i="83"/>
  <c r="AA41" i="83"/>
  <c r="AA42" i="83"/>
  <c r="AA43" i="83"/>
  <c r="AA51" i="83"/>
  <c r="AA52" i="83"/>
  <c r="AB14" i="83"/>
  <c r="AB15" i="83"/>
  <c r="AB16" i="83"/>
  <c r="AB17" i="83"/>
  <c r="AB18" i="83"/>
  <c r="AB19" i="83"/>
  <c r="AB20" i="83"/>
  <c r="AB21" i="83"/>
  <c r="AB22" i="83"/>
  <c r="AB23" i="83"/>
  <c r="AB24" i="83"/>
  <c r="AB25" i="83"/>
  <c r="AB26" i="83"/>
  <c r="AB27" i="83"/>
  <c r="AB28" i="83"/>
  <c r="AB29" i="83"/>
  <c r="AB30" i="83"/>
  <c r="AB31" i="83"/>
  <c r="AB32" i="83"/>
  <c r="AB33" i="83"/>
  <c r="AB34" i="83"/>
  <c r="AB35" i="83"/>
  <c r="AB36" i="83"/>
  <c r="AB37" i="83"/>
  <c r="AB38" i="83"/>
  <c r="AB39" i="83"/>
  <c r="AB40" i="83"/>
  <c r="AB41" i="83"/>
  <c r="AB42" i="83"/>
  <c r="AB43" i="83"/>
  <c r="J108" i="3"/>
  <c r="D13" i="83"/>
  <c r="L13" i="83"/>
  <c r="AD14" i="83"/>
  <c r="AD15" i="83"/>
  <c r="AD16" i="83"/>
  <c r="AD17" i="83"/>
  <c r="AD18" i="83"/>
  <c r="AD19" i="83"/>
  <c r="AD20" i="83"/>
  <c r="AD21" i="83"/>
  <c r="AD22" i="83"/>
  <c r="AD23" i="83"/>
  <c r="AD24" i="83"/>
  <c r="AD25" i="83"/>
  <c r="AD26" i="83"/>
  <c r="AD27" i="83"/>
  <c r="AD28" i="83"/>
  <c r="AD29" i="83"/>
  <c r="AD30" i="83"/>
  <c r="AD31" i="83"/>
  <c r="AD32" i="83"/>
  <c r="AD33" i="83"/>
  <c r="AD34" i="83"/>
  <c r="AD35" i="83"/>
  <c r="AD36" i="83"/>
  <c r="AD37" i="83"/>
  <c r="AD38" i="83"/>
  <c r="AD39" i="83"/>
  <c r="AD40" i="83"/>
  <c r="AD41" i="83"/>
  <c r="AD42" i="83"/>
  <c r="AD43" i="83"/>
  <c r="AD51" i="83"/>
  <c r="N14" i="79"/>
  <c r="B14" i="79"/>
  <c r="A14" i="79"/>
  <c r="O14" i="79"/>
  <c r="N15" i="79"/>
  <c r="C15" i="79"/>
  <c r="B15" i="79"/>
  <c r="A15" i="79"/>
  <c r="O15" i="79"/>
  <c r="N16" i="79"/>
  <c r="C16" i="79"/>
  <c r="B16" i="79"/>
  <c r="A16" i="79"/>
  <c r="O16" i="79"/>
  <c r="N17" i="79"/>
  <c r="C17" i="79"/>
  <c r="B17" i="79"/>
  <c r="A17" i="79"/>
  <c r="O17" i="79"/>
  <c r="N18" i="79"/>
  <c r="C18" i="79"/>
  <c r="B18" i="79"/>
  <c r="A18" i="79"/>
  <c r="O18" i="79"/>
  <c r="N19" i="79"/>
  <c r="C19" i="79"/>
  <c r="B19" i="79"/>
  <c r="A19" i="79"/>
  <c r="O19" i="79"/>
  <c r="N20" i="79"/>
  <c r="C20" i="79"/>
  <c r="B20" i="79"/>
  <c r="A20" i="79"/>
  <c r="O20" i="79"/>
  <c r="N21" i="79"/>
  <c r="C21" i="79"/>
  <c r="B21" i="79"/>
  <c r="A21" i="79"/>
  <c r="O21" i="79"/>
  <c r="N22" i="79"/>
  <c r="C22" i="79"/>
  <c r="B22" i="79"/>
  <c r="A22" i="79"/>
  <c r="O22" i="79"/>
  <c r="N23" i="79"/>
  <c r="C23" i="79"/>
  <c r="B23" i="79"/>
  <c r="A23" i="79"/>
  <c r="O23" i="79"/>
  <c r="N24" i="79"/>
  <c r="C24" i="79"/>
  <c r="B24" i="79"/>
  <c r="A24" i="79"/>
  <c r="O24" i="79"/>
  <c r="N25" i="79"/>
  <c r="C25" i="79"/>
  <c r="B25" i="79"/>
  <c r="A25" i="79"/>
  <c r="O25" i="79"/>
  <c r="N26" i="79"/>
  <c r="C26" i="79"/>
  <c r="B26" i="79"/>
  <c r="A26" i="79"/>
  <c r="O26" i="79"/>
  <c r="C27" i="79"/>
  <c r="B27" i="79"/>
  <c r="A27" i="79"/>
  <c r="N27" i="79"/>
  <c r="O27" i="79"/>
  <c r="C28" i="79"/>
  <c r="B28" i="79"/>
  <c r="A28" i="79"/>
  <c r="N28" i="79"/>
  <c r="O28" i="79"/>
  <c r="N29" i="79"/>
  <c r="C29" i="79"/>
  <c r="B29" i="79"/>
  <c r="A29" i="79"/>
  <c r="O29" i="79"/>
  <c r="N30" i="79"/>
  <c r="C30" i="79"/>
  <c r="B30" i="79"/>
  <c r="A30" i="79"/>
  <c r="O30" i="79"/>
  <c r="C31" i="79"/>
  <c r="B31" i="79"/>
  <c r="A31" i="79"/>
  <c r="N31" i="79"/>
  <c r="O31" i="79"/>
  <c r="N32" i="79"/>
  <c r="C32" i="79"/>
  <c r="B32" i="79"/>
  <c r="A32" i="79"/>
  <c r="O32" i="79"/>
  <c r="N33" i="79"/>
  <c r="C33" i="79"/>
  <c r="B33" i="79"/>
  <c r="A33" i="79"/>
  <c r="O33" i="79"/>
  <c r="N34" i="79"/>
  <c r="C34" i="79"/>
  <c r="B34" i="79"/>
  <c r="A34" i="79"/>
  <c r="O34" i="79"/>
  <c r="C35" i="79"/>
  <c r="B35" i="79"/>
  <c r="A35" i="79"/>
  <c r="N35" i="79"/>
  <c r="O35" i="79"/>
  <c r="C36" i="79"/>
  <c r="B36" i="79"/>
  <c r="A36" i="79"/>
  <c r="N36" i="79"/>
  <c r="O36" i="79"/>
  <c r="N37" i="79"/>
  <c r="C37" i="79"/>
  <c r="B37" i="79"/>
  <c r="A37" i="79"/>
  <c r="O37" i="79"/>
  <c r="N38" i="79"/>
  <c r="C38" i="79"/>
  <c r="B38" i="79"/>
  <c r="A38" i="79"/>
  <c r="O38" i="79"/>
  <c r="N39" i="79"/>
  <c r="C39" i="79"/>
  <c r="B39" i="79"/>
  <c r="A39" i="79"/>
  <c r="O39" i="79"/>
  <c r="N40" i="79"/>
  <c r="C40" i="79"/>
  <c r="B40" i="79"/>
  <c r="A40" i="79"/>
  <c r="O40" i="79"/>
  <c r="C41" i="79"/>
  <c r="B41" i="79"/>
  <c r="A41" i="79"/>
  <c r="N41" i="79"/>
  <c r="O41" i="79"/>
  <c r="C42" i="79"/>
  <c r="B42" i="79"/>
  <c r="A42" i="79"/>
  <c r="N42" i="79"/>
  <c r="O42" i="79"/>
  <c r="C43" i="79"/>
  <c r="B43" i="79"/>
  <c r="A43" i="79"/>
  <c r="N43" i="79"/>
  <c r="O43" i="79"/>
  <c r="C44" i="79"/>
  <c r="B44" i="79"/>
  <c r="A44" i="79"/>
  <c r="N44" i="79"/>
  <c r="O44" i="79"/>
  <c r="E13" i="79"/>
  <c r="L14" i="79"/>
  <c r="L15" i="79"/>
  <c r="L16" i="79"/>
  <c r="L17" i="79"/>
  <c r="L18" i="79"/>
  <c r="L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AA14" i="79"/>
  <c r="AA15" i="79"/>
  <c r="AA16" i="79"/>
  <c r="AA17" i="79"/>
  <c r="AA18" i="79"/>
  <c r="AA19" i="79"/>
  <c r="AA20" i="79"/>
  <c r="AA21" i="79"/>
  <c r="AA22" i="79"/>
  <c r="AA23" i="79"/>
  <c r="AA24" i="79"/>
  <c r="AA25" i="79"/>
  <c r="AA26" i="79"/>
  <c r="AA27" i="79"/>
  <c r="AA28" i="79"/>
  <c r="AA29" i="79"/>
  <c r="AA30" i="79"/>
  <c r="AA31" i="79"/>
  <c r="AA32" i="79"/>
  <c r="AA33" i="79"/>
  <c r="AA34" i="79"/>
  <c r="AA35" i="79"/>
  <c r="AA36" i="79"/>
  <c r="AA37" i="79"/>
  <c r="AA38" i="79"/>
  <c r="AA39" i="79"/>
  <c r="AA40" i="79"/>
  <c r="AA41" i="79"/>
  <c r="AA42" i="79"/>
  <c r="AA43" i="79"/>
  <c r="AA44" i="79"/>
  <c r="AA51" i="79"/>
  <c r="AA52" i="79"/>
  <c r="AB14" i="79"/>
  <c r="AB15" i="79"/>
  <c r="AB16" i="79"/>
  <c r="AB17" i="79"/>
  <c r="AB18" i="79"/>
  <c r="AB19" i="79"/>
  <c r="AB20" i="79"/>
  <c r="AB21" i="79"/>
  <c r="AB22" i="79"/>
  <c r="AB23" i="79"/>
  <c r="AB24" i="79"/>
  <c r="AB25" i="79"/>
  <c r="AB26" i="79"/>
  <c r="AB27" i="79"/>
  <c r="AB28" i="79"/>
  <c r="AB29" i="79"/>
  <c r="AB30" i="79"/>
  <c r="AB31" i="79"/>
  <c r="AB32" i="79"/>
  <c r="AB33" i="79"/>
  <c r="AB34" i="79"/>
  <c r="AB35" i="79"/>
  <c r="AB36" i="79"/>
  <c r="AB37" i="79"/>
  <c r="AB38" i="79"/>
  <c r="AB39" i="79"/>
  <c r="AB40" i="79"/>
  <c r="AB41" i="79"/>
  <c r="AB42" i="79"/>
  <c r="AB43" i="79"/>
  <c r="AB44" i="79"/>
  <c r="J107" i="3"/>
  <c r="D13" i="79"/>
  <c r="L13" i="79"/>
  <c r="AD14" i="79"/>
  <c r="AD15" i="79"/>
  <c r="AD16" i="79"/>
  <c r="AD17" i="79"/>
  <c r="AD18" i="79"/>
  <c r="AD19" i="79"/>
  <c r="AD20" i="79"/>
  <c r="AD21" i="79"/>
  <c r="AD22" i="79"/>
  <c r="AD23" i="79"/>
  <c r="AD24" i="79"/>
  <c r="AD25" i="79"/>
  <c r="AD26" i="79"/>
  <c r="AD27" i="79"/>
  <c r="AD28" i="79"/>
  <c r="AD29" i="79"/>
  <c r="AD30" i="79"/>
  <c r="AD31" i="79"/>
  <c r="AD32" i="79"/>
  <c r="AD33" i="79"/>
  <c r="AD34" i="79"/>
  <c r="AD35" i="79"/>
  <c r="AD36" i="79"/>
  <c r="AD37" i="79"/>
  <c r="AD38" i="79"/>
  <c r="AD39" i="79"/>
  <c r="AD40" i="79"/>
  <c r="AD41" i="79"/>
  <c r="AD42" i="79"/>
  <c r="AD43" i="79"/>
  <c r="AD44" i="79"/>
  <c r="AD51" i="79"/>
  <c r="N14" i="78"/>
  <c r="B14" i="78"/>
  <c r="A14" i="78"/>
  <c r="O14" i="78"/>
  <c r="N15" i="78"/>
  <c r="C15" i="78"/>
  <c r="B15" i="78"/>
  <c r="A15" i="78"/>
  <c r="O15" i="78"/>
  <c r="N16" i="78"/>
  <c r="C16" i="78"/>
  <c r="B16" i="78"/>
  <c r="A16" i="78"/>
  <c r="O16" i="78"/>
  <c r="C17" i="78"/>
  <c r="B17" i="78"/>
  <c r="A17" i="78"/>
  <c r="N17" i="78"/>
  <c r="O17" i="78"/>
  <c r="N18" i="78"/>
  <c r="C18" i="78"/>
  <c r="B18" i="78"/>
  <c r="A18" i="78"/>
  <c r="O18" i="78"/>
  <c r="N19" i="78"/>
  <c r="C19" i="78"/>
  <c r="B19" i="78"/>
  <c r="A19" i="78"/>
  <c r="O19" i="78"/>
  <c r="C20" i="78"/>
  <c r="B20" i="78"/>
  <c r="A20" i="78"/>
  <c r="N20" i="78"/>
  <c r="O20" i="78"/>
  <c r="N21" i="78"/>
  <c r="C21" i="78"/>
  <c r="B21" i="78"/>
  <c r="A21" i="78"/>
  <c r="O21" i="78"/>
  <c r="N22" i="78"/>
  <c r="C22" i="78"/>
  <c r="B22" i="78"/>
  <c r="A22" i="78"/>
  <c r="O22" i="78"/>
  <c r="N23" i="78"/>
  <c r="C23" i="78"/>
  <c r="B23" i="78"/>
  <c r="A23" i="78"/>
  <c r="O23" i="78"/>
  <c r="N24" i="78"/>
  <c r="C24" i="78"/>
  <c r="B24" i="78"/>
  <c r="A24" i="78"/>
  <c r="O24" i="78"/>
  <c r="C25" i="78"/>
  <c r="B25" i="78"/>
  <c r="A25" i="78"/>
  <c r="N25" i="78"/>
  <c r="O25" i="78"/>
  <c r="N26" i="78"/>
  <c r="C26" i="78"/>
  <c r="B26" i="78"/>
  <c r="A26" i="78"/>
  <c r="O26" i="78"/>
  <c r="N27" i="78"/>
  <c r="C27" i="78"/>
  <c r="B27" i="78"/>
  <c r="A27" i="78"/>
  <c r="O27" i="78"/>
  <c r="N28" i="78"/>
  <c r="C28" i="78"/>
  <c r="B28" i="78"/>
  <c r="A28" i="78"/>
  <c r="O28" i="78"/>
  <c r="N29" i="78"/>
  <c r="C29" i="78"/>
  <c r="B29" i="78"/>
  <c r="A29" i="78"/>
  <c r="O29" i="78"/>
  <c r="N30" i="78"/>
  <c r="C30" i="78"/>
  <c r="B30" i="78"/>
  <c r="A30" i="78"/>
  <c r="O30" i="78"/>
  <c r="N31" i="78"/>
  <c r="C31" i="78"/>
  <c r="B31" i="78"/>
  <c r="A31" i="78"/>
  <c r="O31" i="78"/>
  <c r="N32" i="78"/>
  <c r="C32" i="78"/>
  <c r="B32" i="78"/>
  <c r="A32" i="78"/>
  <c r="O32" i="78"/>
  <c r="N33" i="78"/>
  <c r="C33" i="78"/>
  <c r="B33" i="78"/>
  <c r="A33" i="78"/>
  <c r="O33" i="78"/>
  <c r="N34" i="78"/>
  <c r="C34" i="78"/>
  <c r="B34" i="78"/>
  <c r="A34" i="78"/>
  <c r="O34" i="78"/>
  <c r="N35" i="78"/>
  <c r="C35" i="78"/>
  <c r="B35" i="78"/>
  <c r="A35" i="78"/>
  <c r="O35" i="78"/>
  <c r="N36" i="78"/>
  <c r="C36" i="78"/>
  <c r="B36" i="78"/>
  <c r="A36" i="78"/>
  <c r="O36" i="78"/>
  <c r="N37" i="78"/>
  <c r="C37" i="78"/>
  <c r="B37" i="78"/>
  <c r="A37" i="78"/>
  <c r="O37" i="78"/>
  <c r="N38" i="78"/>
  <c r="C38" i="78"/>
  <c r="B38" i="78"/>
  <c r="A38" i="78"/>
  <c r="O38" i="78"/>
  <c r="N39" i="78"/>
  <c r="C39" i="78"/>
  <c r="B39" i="78"/>
  <c r="A39" i="78"/>
  <c r="O39" i="78"/>
  <c r="N40" i="78"/>
  <c r="C40" i="78"/>
  <c r="B40" i="78"/>
  <c r="A40" i="78"/>
  <c r="O40" i="78"/>
  <c r="N41" i="78"/>
  <c r="C41" i="78"/>
  <c r="B41" i="78"/>
  <c r="A41" i="78"/>
  <c r="O41" i="78"/>
  <c r="N42" i="78"/>
  <c r="C42" i="78"/>
  <c r="B42" i="78"/>
  <c r="A42" i="78"/>
  <c r="O42" i="78"/>
  <c r="N43" i="78"/>
  <c r="C43" i="78"/>
  <c r="B43" i="78"/>
  <c r="A43" i="78"/>
  <c r="O43" i="78"/>
  <c r="C44" i="78"/>
  <c r="B44" i="78"/>
  <c r="A44" i="78"/>
  <c r="N44" i="78"/>
  <c r="O44" i="78"/>
  <c r="L14" i="78"/>
  <c r="L15" i="78"/>
  <c r="L16" i="78"/>
  <c r="L17" i="78"/>
  <c r="L18" i="78"/>
  <c r="L19" i="78"/>
  <c r="L20" i="78"/>
  <c r="L21" i="78"/>
  <c r="L22" i="78"/>
  <c r="L23" i="78"/>
  <c r="L24" i="78"/>
  <c r="L25" i="78"/>
  <c r="L26" i="78"/>
  <c r="L27" i="78"/>
  <c r="L28" i="78"/>
  <c r="L29" i="78"/>
  <c r="L30" i="78"/>
  <c r="L31" i="78"/>
  <c r="L32" i="78"/>
  <c r="L33" i="78"/>
  <c r="L34" i="78"/>
  <c r="L35" i="78"/>
  <c r="L36" i="78"/>
  <c r="L37" i="78"/>
  <c r="L38" i="78"/>
  <c r="L39" i="78"/>
  <c r="L40" i="78"/>
  <c r="L41" i="78"/>
  <c r="L42" i="78"/>
  <c r="L43" i="78"/>
  <c r="L44" i="78"/>
  <c r="E13" i="78"/>
  <c r="AA14" i="78"/>
  <c r="AA15" i="78"/>
  <c r="AA16" i="78"/>
  <c r="AA17" i="78"/>
  <c r="AA18" i="78"/>
  <c r="AA19" i="78"/>
  <c r="AA20" i="78"/>
  <c r="AA21" i="78"/>
  <c r="AA22" i="78"/>
  <c r="AA23" i="78"/>
  <c r="AA24" i="78"/>
  <c r="AA25" i="78"/>
  <c r="AA26" i="78"/>
  <c r="AA27" i="78"/>
  <c r="AA28" i="78"/>
  <c r="AA29" i="78"/>
  <c r="AA30" i="78"/>
  <c r="AA31" i="78"/>
  <c r="AA32" i="78"/>
  <c r="AA33" i="78"/>
  <c r="AA34" i="78"/>
  <c r="AA35" i="78"/>
  <c r="AA36" i="78"/>
  <c r="AA37" i="78"/>
  <c r="AA38" i="78"/>
  <c r="AA39" i="78"/>
  <c r="AA40" i="78"/>
  <c r="AA41" i="78"/>
  <c r="AA42" i="78"/>
  <c r="AA43" i="78"/>
  <c r="AA44" i="78"/>
  <c r="AA51" i="78"/>
  <c r="AA52" i="78"/>
  <c r="AB14" i="78"/>
  <c r="AB15" i="78"/>
  <c r="AB16" i="78"/>
  <c r="AB17" i="78"/>
  <c r="AB18" i="78"/>
  <c r="AB19" i="78"/>
  <c r="AB20" i="78"/>
  <c r="AB21" i="78"/>
  <c r="AB22" i="78"/>
  <c r="AB23" i="78"/>
  <c r="AB24" i="78"/>
  <c r="AB25" i="78"/>
  <c r="AB26" i="78"/>
  <c r="AB27" i="78"/>
  <c r="AB28" i="78"/>
  <c r="AB29" i="78"/>
  <c r="AB30" i="78"/>
  <c r="AB31" i="78"/>
  <c r="AB32" i="78"/>
  <c r="AB33" i="78"/>
  <c r="AB34" i="78"/>
  <c r="AB35" i="78"/>
  <c r="AB36" i="78"/>
  <c r="AB37" i="78"/>
  <c r="AB38" i="78"/>
  <c r="AB39" i="78"/>
  <c r="AB40" i="78"/>
  <c r="AB41" i="78"/>
  <c r="AB42" i="78"/>
  <c r="AB43" i="78"/>
  <c r="AB44" i="78"/>
  <c r="J106" i="3"/>
  <c r="D13" i="78"/>
  <c r="L13" i="78"/>
  <c r="AD14" i="78"/>
  <c r="AD15" i="78"/>
  <c r="AD16" i="78"/>
  <c r="AD17" i="78"/>
  <c r="AD18" i="78"/>
  <c r="AD19" i="78"/>
  <c r="AD20" i="78"/>
  <c r="AD21" i="78"/>
  <c r="AD22" i="78"/>
  <c r="AD23" i="78"/>
  <c r="AD24" i="78"/>
  <c r="AD25" i="78"/>
  <c r="AD26" i="78"/>
  <c r="AD27" i="78"/>
  <c r="AD28" i="78"/>
  <c r="AD29" i="78"/>
  <c r="AD30" i="78"/>
  <c r="AD31" i="78"/>
  <c r="AD32" i="78"/>
  <c r="AD33" i="78"/>
  <c r="AD34" i="78"/>
  <c r="AD35" i="78"/>
  <c r="AD36" i="78"/>
  <c r="AD37" i="78"/>
  <c r="AD38" i="78"/>
  <c r="AD39" i="78"/>
  <c r="AD40" i="78"/>
  <c r="AD41" i="78"/>
  <c r="AD42" i="78"/>
  <c r="AD43" i="78"/>
  <c r="AD44" i="78"/>
  <c r="AD51" i="78"/>
  <c r="B14" i="82"/>
  <c r="A14" i="82"/>
  <c r="N14" i="82"/>
  <c r="O14" i="82"/>
  <c r="N15" i="82"/>
  <c r="C15" i="82"/>
  <c r="B15" i="82"/>
  <c r="A15" i="82"/>
  <c r="O15" i="82"/>
  <c r="N16" i="82"/>
  <c r="C16" i="82"/>
  <c r="B16" i="82"/>
  <c r="A16" i="82"/>
  <c r="O16" i="82"/>
  <c r="N17" i="82"/>
  <c r="C17" i="82"/>
  <c r="B17" i="82"/>
  <c r="A17" i="82"/>
  <c r="O17" i="82"/>
  <c r="N18" i="82"/>
  <c r="C18" i="82"/>
  <c r="B18" i="82"/>
  <c r="A18" i="82"/>
  <c r="O18" i="82"/>
  <c r="C19" i="82"/>
  <c r="B19" i="82"/>
  <c r="A19" i="82"/>
  <c r="N19" i="82"/>
  <c r="O19" i="82"/>
  <c r="C20" i="82"/>
  <c r="B20" i="82"/>
  <c r="A20" i="82"/>
  <c r="N20" i="82"/>
  <c r="O20" i="82"/>
  <c r="C21" i="82"/>
  <c r="B21" i="82"/>
  <c r="A21" i="82"/>
  <c r="N21" i="82"/>
  <c r="O21" i="82"/>
  <c r="N22" i="82"/>
  <c r="C22" i="82"/>
  <c r="B22" i="82"/>
  <c r="A22" i="82"/>
  <c r="O22" i="82"/>
  <c r="N23" i="82"/>
  <c r="C23" i="82"/>
  <c r="B23" i="82"/>
  <c r="A23" i="82"/>
  <c r="O23" i="82"/>
  <c r="N24" i="82"/>
  <c r="C24" i="82"/>
  <c r="B24" i="82"/>
  <c r="A24" i="82"/>
  <c r="O24" i="82"/>
  <c r="N25" i="82"/>
  <c r="C25" i="82"/>
  <c r="B25" i="82"/>
  <c r="A25" i="82"/>
  <c r="O25" i="82"/>
  <c r="C26" i="82"/>
  <c r="B26" i="82"/>
  <c r="A26" i="82"/>
  <c r="N26" i="82"/>
  <c r="O26" i="82"/>
  <c r="C27" i="82"/>
  <c r="B27" i="82"/>
  <c r="A27" i="82"/>
  <c r="N27" i="82"/>
  <c r="O27" i="82"/>
  <c r="C28" i="82"/>
  <c r="B28" i="82"/>
  <c r="A28" i="82"/>
  <c r="N28" i="82"/>
  <c r="O28" i="82"/>
  <c r="C29" i="82"/>
  <c r="B29" i="82"/>
  <c r="A29" i="82"/>
  <c r="N29" i="82"/>
  <c r="O29" i="82"/>
  <c r="N30" i="82"/>
  <c r="C30" i="82"/>
  <c r="B30" i="82"/>
  <c r="A30" i="82"/>
  <c r="O30" i="82"/>
  <c r="N31" i="82"/>
  <c r="C31" i="82"/>
  <c r="B31" i="82"/>
  <c r="A31" i="82"/>
  <c r="O31" i="82"/>
  <c r="N32" i="82"/>
  <c r="C32" i="82"/>
  <c r="B32" i="82"/>
  <c r="A32" i="82"/>
  <c r="O32" i="82"/>
  <c r="N33" i="82"/>
  <c r="C33" i="82"/>
  <c r="B33" i="82"/>
  <c r="A33" i="82"/>
  <c r="O33" i="82"/>
  <c r="N34" i="82"/>
  <c r="C34" i="82"/>
  <c r="B34" i="82"/>
  <c r="A34" i="82"/>
  <c r="O34" i="82"/>
  <c r="N35" i="82"/>
  <c r="C35" i="82"/>
  <c r="B35" i="82"/>
  <c r="A35" i="82"/>
  <c r="O35" i="82"/>
  <c r="C36" i="82"/>
  <c r="B36" i="82"/>
  <c r="A36" i="82"/>
  <c r="N36" i="82"/>
  <c r="O36" i="82"/>
  <c r="N37" i="82"/>
  <c r="C37" i="82"/>
  <c r="B37" i="82"/>
  <c r="A37" i="82"/>
  <c r="O37" i="82"/>
  <c r="N38" i="82"/>
  <c r="C38" i="82"/>
  <c r="B38" i="82"/>
  <c r="A38" i="82"/>
  <c r="O38" i="82"/>
  <c r="N39" i="82"/>
  <c r="C39" i="82"/>
  <c r="B39" i="82"/>
  <c r="A39" i="82"/>
  <c r="O39" i="82"/>
  <c r="C40" i="82"/>
  <c r="B40" i="82"/>
  <c r="A40" i="82"/>
  <c r="N40" i="82"/>
  <c r="O40" i="82"/>
  <c r="C41" i="82"/>
  <c r="B41" i="82"/>
  <c r="A41" i="82"/>
  <c r="N41" i="82"/>
  <c r="O41" i="82"/>
  <c r="C42" i="82"/>
  <c r="B42" i="82"/>
  <c r="A42" i="82"/>
  <c r="N42" i="82"/>
  <c r="O42" i="82"/>
  <c r="C43" i="82"/>
  <c r="B43" i="82"/>
  <c r="A43" i="82"/>
  <c r="N43" i="82"/>
  <c r="O43" i="82"/>
  <c r="E13" i="82"/>
  <c r="L14" i="82"/>
  <c r="L15" i="82"/>
  <c r="L16" i="82"/>
  <c r="L17" i="82"/>
  <c r="L18" i="82"/>
  <c r="L19" i="82"/>
  <c r="L20" i="82"/>
  <c r="K6" i="82" s="1"/>
  <c r="L21" i="82"/>
  <c r="L22" i="82"/>
  <c r="L23" i="82"/>
  <c r="L24" i="82"/>
  <c r="L25" i="82"/>
  <c r="L26" i="82"/>
  <c r="L27" i="82"/>
  <c r="L28" i="82"/>
  <c r="L29" i="82"/>
  <c r="L30" i="82"/>
  <c r="L31" i="82"/>
  <c r="L32" i="82"/>
  <c r="L33" i="82"/>
  <c r="L34" i="82"/>
  <c r="L35" i="82"/>
  <c r="L36" i="82"/>
  <c r="L37" i="82"/>
  <c r="L38" i="82"/>
  <c r="AA39" i="82"/>
  <c r="AE39" i="82"/>
  <c r="L39" i="82"/>
  <c r="L40" i="82"/>
  <c r="L41" i="82"/>
  <c r="L42" i="82"/>
  <c r="L44" i="82"/>
  <c r="L43" i="82"/>
  <c r="AA14" i="82"/>
  <c r="AA15" i="82"/>
  <c r="AA16" i="82"/>
  <c r="AA17" i="82"/>
  <c r="AA18" i="82"/>
  <c r="AA19" i="82"/>
  <c r="AA20" i="82"/>
  <c r="AA21" i="82"/>
  <c r="AA22" i="82"/>
  <c r="AA23" i="82"/>
  <c r="AA24" i="82"/>
  <c r="AA25" i="82"/>
  <c r="AA26" i="82"/>
  <c r="AA27" i="82"/>
  <c r="AA28" i="82"/>
  <c r="AA29" i="82"/>
  <c r="AA30" i="82"/>
  <c r="AA31" i="82"/>
  <c r="AA32" i="82"/>
  <c r="AA33" i="82"/>
  <c r="AA34" i="82"/>
  <c r="AA35" i="82"/>
  <c r="AA36" i="82"/>
  <c r="AA37" i="82"/>
  <c r="AA38" i="82"/>
  <c r="AA40" i="82"/>
  <c r="AA41" i="82"/>
  <c r="AA42" i="82"/>
  <c r="AA43" i="82"/>
  <c r="AA51" i="82"/>
  <c r="AA52" i="82"/>
  <c r="AB14" i="82"/>
  <c r="AB15" i="82"/>
  <c r="AB16" i="82"/>
  <c r="AB17" i="82"/>
  <c r="AB18" i="82"/>
  <c r="AB19" i="82"/>
  <c r="AB20" i="82"/>
  <c r="AB21" i="82"/>
  <c r="AB22" i="82"/>
  <c r="AB23" i="82"/>
  <c r="AB24" i="82"/>
  <c r="AB25" i="82"/>
  <c r="AB26" i="82"/>
  <c r="AB27" i="82"/>
  <c r="AB28" i="82"/>
  <c r="AB29" i="82"/>
  <c r="AB30" i="82"/>
  <c r="AB31" i="82"/>
  <c r="AB32" i="82"/>
  <c r="AB33" i="82"/>
  <c r="AB34" i="82"/>
  <c r="AB35" i="82"/>
  <c r="AB36" i="82"/>
  <c r="AB37" i="82"/>
  <c r="AB38" i="82"/>
  <c r="AB39" i="82"/>
  <c r="AB40" i="82"/>
  <c r="AB41" i="82"/>
  <c r="AB42" i="82"/>
  <c r="AB43" i="82"/>
  <c r="J105" i="3"/>
  <c r="D13" i="82"/>
  <c r="L13" i="82"/>
  <c r="AD14" i="82"/>
  <c r="AD15" i="82"/>
  <c r="AD16" i="82"/>
  <c r="AD17" i="82"/>
  <c r="AD18" i="82"/>
  <c r="AD19" i="82"/>
  <c r="AD20" i="82"/>
  <c r="AD21" i="82"/>
  <c r="AD22" i="82"/>
  <c r="AD23" i="82"/>
  <c r="AD24" i="82"/>
  <c r="AD25" i="82"/>
  <c r="AD26" i="82"/>
  <c r="AD27" i="82"/>
  <c r="AD28" i="82"/>
  <c r="AD29" i="82"/>
  <c r="AD30" i="82"/>
  <c r="AD31" i="82"/>
  <c r="AD32" i="82"/>
  <c r="AD33" i="82"/>
  <c r="AD34" i="82"/>
  <c r="AD35" i="82"/>
  <c r="AD36" i="82"/>
  <c r="AD37" i="82"/>
  <c r="AD38" i="82"/>
  <c r="AD39" i="82"/>
  <c r="AD40" i="82"/>
  <c r="AD41" i="82"/>
  <c r="AD42" i="82"/>
  <c r="AD43" i="82"/>
  <c r="AD51" i="82"/>
  <c r="N14" i="77"/>
  <c r="B14" i="77"/>
  <c r="A14" i="77"/>
  <c r="O14" i="77"/>
  <c r="N15" i="77"/>
  <c r="C15" i="77"/>
  <c r="B15" i="77"/>
  <c r="A15" i="77"/>
  <c r="O15" i="77"/>
  <c r="N16" i="77"/>
  <c r="C16" i="77"/>
  <c r="B16" i="77"/>
  <c r="A16" i="77"/>
  <c r="O16" i="77"/>
  <c r="N17" i="77"/>
  <c r="C17" i="77"/>
  <c r="B17" i="77"/>
  <c r="A17" i="77"/>
  <c r="O17" i="77"/>
  <c r="C18" i="77"/>
  <c r="B18" i="77"/>
  <c r="A18" i="77"/>
  <c r="N18" i="77"/>
  <c r="O18" i="77"/>
  <c r="N19" i="77"/>
  <c r="C19" i="77"/>
  <c r="B19" i="77"/>
  <c r="A19" i="77"/>
  <c r="O19" i="77"/>
  <c r="N20" i="77"/>
  <c r="C20" i="77"/>
  <c r="B20" i="77"/>
  <c r="A20" i="77"/>
  <c r="O20" i="77"/>
  <c r="C21" i="77"/>
  <c r="B21" i="77"/>
  <c r="A21" i="77"/>
  <c r="N21" i="77"/>
  <c r="O21" i="77"/>
  <c r="C22" i="77"/>
  <c r="B22" i="77"/>
  <c r="A22" i="77"/>
  <c r="N22" i="77"/>
  <c r="O22" i="77"/>
  <c r="C23" i="77"/>
  <c r="B23" i="77"/>
  <c r="A23" i="77"/>
  <c r="N23" i="77"/>
  <c r="O23" i="77"/>
  <c r="N24" i="77"/>
  <c r="C24" i="77"/>
  <c r="B24" i="77"/>
  <c r="A24" i="77"/>
  <c r="O24" i="77"/>
  <c r="N25" i="77"/>
  <c r="C25" i="77"/>
  <c r="B25" i="77"/>
  <c r="A25" i="77"/>
  <c r="O25" i="77"/>
  <c r="N26" i="77"/>
  <c r="C26" i="77"/>
  <c r="B26" i="77"/>
  <c r="A26" i="77"/>
  <c r="O26" i="77"/>
  <c r="N27" i="77"/>
  <c r="C27" i="77"/>
  <c r="B27" i="77"/>
  <c r="A27" i="77"/>
  <c r="O27" i="77"/>
  <c r="N28" i="77"/>
  <c r="C28" i="77"/>
  <c r="B28" i="77"/>
  <c r="A28" i="77"/>
  <c r="O28" i="77"/>
  <c r="N29" i="77"/>
  <c r="C29" i="77"/>
  <c r="B29" i="77"/>
  <c r="A29" i="77"/>
  <c r="O29" i="77"/>
  <c r="N30" i="77"/>
  <c r="C30" i="77"/>
  <c r="B30" i="77"/>
  <c r="A30" i="77"/>
  <c r="O30" i="77"/>
  <c r="N31" i="77"/>
  <c r="C31" i="77"/>
  <c r="B31" i="77"/>
  <c r="A31" i="77"/>
  <c r="O31" i="77"/>
  <c r="N32" i="77"/>
  <c r="C32" i="77"/>
  <c r="B32" i="77"/>
  <c r="A32" i="77"/>
  <c r="O32" i="77"/>
  <c r="N33" i="77"/>
  <c r="C33" i="77"/>
  <c r="B33" i="77"/>
  <c r="A33" i="77"/>
  <c r="O33" i="77"/>
  <c r="N34" i="77"/>
  <c r="C34" i="77"/>
  <c r="B34" i="77"/>
  <c r="A34" i="77"/>
  <c r="O34" i="77"/>
  <c r="N35" i="77"/>
  <c r="C35" i="77"/>
  <c r="B35" i="77"/>
  <c r="A35" i="77"/>
  <c r="O35" i="77"/>
  <c r="N36" i="77"/>
  <c r="C36" i="77"/>
  <c r="B36" i="77"/>
  <c r="A36" i="77"/>
  <c r="O36" i="77"/>
  <c r="N37" i="77"/>
  <c r="C37" i="77"/>
  <c r="B37" i="77"/>
  <c r="A37" i="77"/>
  <c r="O37" i="77"/>
  <c r="N38" i="77"/>
  <c r="C38" i="77"/>
  <c r="B38" i="77"/>
  <c r="A38" i="77"/>
  <c r="O38" i="77"/>
  <c r="N39" i="77"/>
  <c r="C39" i="77"/>
  <c r="B39" i="77"/>
  <c r="A39" i="77"/>
  <c r="O39" i="77"/>
  <c r="N40" i="77"/>
  <c r="C40" i="77"/>
  <c r="B40" i="77"/>
  <c r="A40" i="77"/>
  <c r="O40" i="77"/>
  <c r="N41" i="77"/>
  <c r="C41" i="77"/>
  <c r="B41" i="77"/>
  <c r="A41" i="77"/>
  <c r="O41" i="77"/>
  <c r="N42" i="77"/>
  <c r="C42" i="77"/>
  <c r="B42" i="77"/>
  <c r="A42" i="77"/>
  <c r="O42" i="77"/>
  <c r="C43" i="77"/>
  <c r="B43" i="77"/>
  <c r="A43" i="77"/>
  <c r="N43" i="77"/>
  <c r="O43" i="77"/>
  <c r="C44" i="77"/>
  <c r="B44" i="77"/>
  <c r="A44" i="77"/>
  <c r="N44" i="77"/>
  <c r="O44" i="77"/>
  <c r="L44" i="77"/>
  <c r="E13" i="77"/>
  <c r="AA14" i="77"/>
  <c r="AA15" i="77"/>
  <c r="AA16" i="77"/>
  <c r="AA17" i="77"/>
  <c r="AA18" i="77"/>
  <c r="AA19" i="77"/>
  <c r="AA20" i="77"/>
  <c r="AA21" i="77"/>
  <c r="AA22" i="77"/>
  <c r="AA23" i="77"/>
  <c r="AA24" i="77"/>
  <c r="AA25" i="77"/>
  <c r="AA26" i="77"/>
  <c r="AA27" i="77"/>
  <c r="AA28" i="77"/>
  <c r="AA29" i="77"/>
  <c r="AA30" i="77"/>
  <c r="AA31" i="77"/>
  <c r="AA32" i="77"/>
  <c r="AA33" i="77"/>
  <c r="AA34" i="77"/>
  <c r="AA35" i="77"/>
  <c r="AA36" i="77"/>
  <c r="AA37" i="77"/>
  <c r="AA38" i="77"/>
  <c r="AA39" i="77"/>
  <c r="AA40" i="77"/>
  <c r="AA41" i="77"/>
  <c r="AA42" i="77"/>
  <c r="AA43" i="77"/>
  <c r="AA44" i="77"/>
  <c r="AA51" i="77"/>
  <c r="AA52" i="77"/>
  <c r="AB14" i="77"/>
  <c r="AB15" i="77"/>
  <c r="AB16" i="77"/>
  <c r="AB17" i="77"/>
  <c r="AB18" i="77"/>
  <c r="AB19" i="77"/>
  <c r="AB20" i="77"/>
  <c r="AB21" i="77"/>
  <c r="AB22" i="77"/>
  <c r="AB23" i="77"/>
  <c r="AB24" i="77"/>
  <c r="AB25" i="77"/>
  <c r="AB26" i="77"/>
  <c r="AB27" i="77"/>
  <c r="AB28" i="77"/>
  <c r="AB29" i="77"/>
  <c r="AB30" i="77"/>
  <c r="AB31" i="77"/>
  <c r="AB32" i="77"/>
  <c r="AB33" i="77"/>
  <c r="AB34" i="77"/>
  <c r="AB35" i="77"/>
  <c r="AB36" i="77"/>
  <c r="AB37" i="77"/>
  <c r="AB38" i="77"/>
  <c r="AB39" i="77"/>
  <c r="AB40" i="77"/>
  <c r="AB41" i="77"/>
  <c r="AB42" i="77"/>
  <c r="AB43" i="77"/>
  <c r="AB44" i="77"/>
  <c r="J104" i="3"/>
  <c r="D13" i="77"/>
  <c r="L13" i="77"/>
  <c r="AD14" i="77"/>
  <c r="AD15" i="77"/>
  <c r="AD16" i="77"/>
  <c r="AD17" i="77"/>
  <c r="AD18" i="77"/>
  <c r="AD19" i="77"/>
  <c r="AD20" i="77"/>
  <c r="AD21" i="77"/>
  <c r="AD22" i="77"/>
  <c r="AD23" i="77"/>
  <c r="AD24" i="77"/>
  <c r="AD25" i="77"/>
  <c r="AD26" i="77"/>
  <c r="AD27" i="77"/>
  <c r="AD28" i="77"/>
  <c r="AD29" i="77"/>
  <c r="AD30" i="77"/>
  <c r="AD31" i="77"/>
  <c r="AD32" i="77"/>
  <c r="AD33" i="77"/>
  <c r="AD34" i="77"/>
  <c r="AD35" i="77"/>
  <c r="AD36" i="77"/>
  <c r="AD37" i="77"/>
  <c r="AD38" i="77"/>
  <c r="AD39" i="77"/>
  <c r="AD40" i="77"/>
  <c r="AD41" i="77"/>
  <c r="AD42" i="77"/>
  <c r="AD43" i="77"/>
  <c r="AD44" i="77"/>
  <c r="AD51" i="77"/>
  <c r="N14" i="75"/>
  <c r="B14" i="75"/>
  <c r="A14" i="75"/>
  <c r="O14" i="75"/>
  <c r="N15" i="75"/>
  <c r="C15" i="75"/>
  <c r="B15" i="75"/>
  <c r="A15" i="75"/>
  <c r="O15" i="75"/>
  <c r="N16" i="75"/>
  <c r="C16" i="75"/>
  <c r="B16" i="75"/>
  <c r="A16" i="75"/>
  <c r="O16" i="75"/>
  <c r="C17" i="75"/>
  <c r="B17" i="75"/>
  <c r="A17" i="75"/>
  <c r="N17" i="75"/>
  <c r="O17" i="75"/>
  <c r="N18" i="75"/>
  <c r="C18" i="75"/>
  <c r="B18" i="75"/>
  <c r="A18" i="75"/>
  <c r="O18" i="75"/>
  <c r="C19" i="75"/>
  <c r="B19" i="75"/>
  <c r="A19" i="75"/>
  <c r="N19" i="75"/>
  <c r="O19" i="75"/>
  <c r="C20" i="75"/>
  <c r="B20" i="75"/>
  <c r="A20" i="75"/>
  <c r="N20" i="75"/>
  <c r="O20" i="75"/>
  <c r="N21" i="75"/>
  <c r="C21" i="75"/>
  <c r="B21" i="75"/>
  <c r="A21" i="75"/>
  <c r="O21" i="75"/>
  <c r="N22" i="75"/>
  <c r="C22" i="75"/>
  <c r="B22" i="75"/>
  <c r="A22" i="75"/>
  <c r="O22" i="75"/>
  <c r="C23" i="75"/>
  <c r="B23" i="75"/>
  <c r="A23" i="75"/>
  <c r="N23" i="75"/>
  <c r="O23" i="75"/>
  <c r="C24" i="75"/>
  <c r="B24" i="75"/>
  <c r="A24" i="75"/>
  <c r="N24" i="75"/>
  <c r="O24" i="75"/>
  <c r="C25" i="75"/>
  <c r="B25" i="75"/>
  <c r="A25" i="75"/>
  <c r="N25" i="75"/>
  <c r="O25" i="75"/>
  <c r="C26" i="75"/>
  <c r="B26" i="75"/>
  <c r="A26" i="75"/>
  <c r="N26" i="75"/>
  <c r="O26" i="75"/>
  <c r="C27" i="75"/>
  <c r="B27" i="75"/>
  <c r="A27" i="75"/>
  <c r="N27" i="75"/>
  <c r="O27" i="75"/>
  <c r="N28" i="75"/>
  <c r="C28" i="75"/>
  <c r="B28" i="75"/>
  <c r="A28" i="75"/>
  <c r="O28" i="75"/>
  <c r="N29" i="75"/>
  <c r="C29" i="75"/>
  <c r="B29" i="75"/>
  <c r="A29" i="75"/>
  <c r="O29" i="75"/>
  <c r="N30" i="75"/>
  <c r="C30" i="75"/>
  <c r="B30" i="75"/>
  <c r="A30" i="75"/>
  <c r="O30" i="75"/>
  <c r="N31" i="75"/>
  <c r="C31" i="75"/>
  <c r="B31" i="75"/>
  <c r="A31" i="75"/>
  <c r="O31" i="75"/>
  <c r="C32" i="75"/>
  <c r="B32" i="75"/>
  <c r="A32" i="75"/>
  <c r="N32" i="75"/>
  <c r="O32" i="75"/>
  <c r="C33" i="75"/>
  <c r="B33" i="75"/>
  <c r="A33" i="75"/>
  <c r="N33" i="75"/>
  <c r="O33" i="75"/>
  <c r="N34" i="75"/>
  <c r="C34" i="75"/>
  <c r="B34" i="75"/>
  <c r="A34" i="75"/>
  <c r="O34" i="75"/>
  <c r="N35" i="75"/>
  <c r="C35" i="75"/>
  <c r="B35" i="75"/>
  <c r="A35" i="75"/>
  <c r="O35" i="75"/>
  <c r="N36" i="75"/>
  <c r="C36" i="75"/>
  <c r="B36" i="75"/>
  <c r="A36" i="75"/>
  <c r="O36" i="75"/>
  <c r="N37" i="75"/>
  <c r="C37" i="75"/>
  <c r="B37" i="75"/>
  <c r="A37" i="75"/>
  <c r="O37" i="75"/>
  <c r="N38" i="75"/>
  <c r="C38" i="75"/>
  <c r="B38" i="75"/>
  <c r="A38" i="75"/>
  <c r="O38" i="75"/>
  <c r="C39" i="75"/>
  <c r="B39" i="75"/>
  <c r="A39" i="75"/>
  <c r="N39" i="75"/>
  <c r="O39" i="75"/>
  <c r="C40" i="75"/>
  <c r="B40" i="75"/>
  <c r="A40" i="75"/>
  <c r="N40" i="75"/>
  <c r="O40" i="75"/>
  <c r="C41" i="75"/>
  <c r="B41" i="75"/>
  <c r="A41" i="75"/>
  <c r="N41" i="75"/>
  <c r="O41" i="75"/>
  <c r="N42" i="75"/>
  <c r="C42" i="75"/>
  <c r="B42" i="75"/>
  <c r="A42" i="75"/>
  <c r="O42" i="75"/>
  <c r="N43" i="75"/>
  <c r="C43" i="75"/>
  <c r="B43" i="75"/>
  <c r="A43" i="75"/>
  <c r="O43" i="75"/>
  <c r="L14" i="75"/>
  <c r="L15" i="75"/>
  <c r="L16" i="75"/>
  <c r="L17" i="75"/>
  <c r="AA18" i="75"/>
  <c r="AE18" i="75"/>
  <c r="L18" i="75"/>
  <c r="L19" i="75"/>
  <c r="L20" i="75"/>
  <c r="L21" i="75"/>
  <c r="L22" i="75"/>
  <c r="L23" i="75"/>
  <c r="L24" i="75"/>
  <c r="L25" i="75"/>
  <c r="L26" i="75"/>
  <c r="L27" i="75"/>
  <c r="L28" i="75"/>
  <c r="L29" i="75"/>
  <c r="L30" i="75"/>
  <c r="L31" i="75"/>
  <c r="L32" i="75"/>
  <c r="L33" i="75"/>
  <c r="L34" i="75"/>
  <c r="L35" i="75"/>
  <c r="L36" i="75"/>
  <c r="AA37" i="75"/>
  <c r="AE37" i="75"/>
  <c r="L37" i="75"/>
  <c r="AA38" i="75"/>
  <c r="AE38" i="75"/>
  <c r="L38" i="75"/>
  <c r="L39" i="75"/>
  <c r="L40" i="75"/>
  <c r="L41" i="75"/>
  <c r="L42" i="75"/>
  <c r="L43" i="75"/>
  <c r="AA14" i="75"/>
  <c r="AA15" i="75"/>
  <c r="AA16" i="75"/>
  <c r="AA17" i="75"/>
  <c r="AA19" i="75"/>
  <c r="AA20" i="75"/>
  <c r="AA21" i="75"/>
  <c r="AA22" i="75"/>
  <c r="AA23" i="75"/>
  <c r="AA24" i="75"/>
  <c r="AA25" i="75"/>
  <c r="AA26" i="75"/>
  <c r="AA27" i="75"/>
  <c r="AA28" i="75"/>
  <c r="AA29" i="75"/>
  <c r="AA30" i="75"/>
  <c r="AA31" i="75"/>
  <c r="AA32" i="75"/>
  <c r="AA33" i="75"/>
  <c r="AA34" i="75"/>
  <c r="AA35" i="75"/>
  <c r="AA36" i="75"/>
  <c r="AA39" i="75"/>
  <c r="AA40" i="75"/>
  <c r="AA41" i="75"/>
  <c r="AA42" i="75"/>
  <c r="AA43" i="75"/>
  <c r="AA51" i="75"/>
  <c r="AA52" i="75"/>
  <c r="AB14" i="75"/>
  <c r="AB15" i="75"/>
  <c r="AB16" i="75"/>
  <c r="AB17" i="75"/>
  <c r="AB18" i="75"/>
  <c r="AB19" i="75"/>
  <c r="AB20" i="75"/>
  <c r="AB21" i="75"/>
  <c r="AB22" i="75"/>
  <c r="AB23" i="75"/>
  <c r="AB24" i="75"/>
  <c r="AB25" i="75"/>
  <c r="AB26" i="75"/>
  <c r="AB27" i="75"/>
  <c r="AB28" i="75"/>
  <c r="AB29" i="75"/>
  <c r="AB30" i="75"/>
  <c r="AB31" i="75"/>
  <c r="AB32" i="75"/>
  <c r="AB33" i="75"/>
  <c r="AB34" i="75"/>
  <c r="AB35" i="75"/>
  <c r="AB36" i="75"/>
  <c r="AB37" i="75"/>
  <c r="AB38" i="75"/>
  <c r="AB39" i="75"/>
  <c r="AB40" i="75"/>
  <c r="AB41" i="75"/>
  <c r="AB42" i="75"/>
  <c r="AB43" i="75"/>
  <c r="J103" i="3"/>
  <c r="L13" i="75"/>
  <c r="AD14" i="75"/>
  <c r="AD15" i="75"/>
  <c r="AD16" i="75"/>
  <c r="AD17" i="75"/>
  <c r="AD18" i="75"/>
  <c r="AD19" i="75"/>
  <c r="AD20" i="75"/>
  <c r="AD21" i="75"/>
  <c r="AD22" i="75"/>
  <c r="AD23" i="75"/>
  <c r="AD24" i="75"/>
  <c r="AD25" i="75"/>
  <c r="AD26" i="75"/>
  <c r="AD27" i="75"/>
  <c r="AD28" i="75"/>
  <c r="AD29" i="75"/>
  <c r="AD30" i="75"/>
  <c r="AD31" i="75"/>
  <c r="AD32" i="75"/>
  <c r="AD33" i="75"/>
  <c r="AD34" i="75"/>
  <c r="AD35" i="75"/>
  <c r="AD36" i="75"/>
  <c r="AD37" i="75"/>
  <c r="AD38" i="75"/>
  <c r="AD39" i="75"/>
  <c r="AD40" i="75"/>
  <c r="AD41" i="75"/>
  <c r="AD42" i="75"/>
  <c r="AD43" i="75"/>
  <c r="AD51" i="75"/>
  <c r="N14" i="76"/>
  <c r="B14" i="76"/>
  <c r="A14" i="76"/>
  <c r="O14" i="76"/>
  <c r="N15" i="76"/>
  <c r="C15" i="76"/>
  <c r="B15" i="76"/>
  <c r="A15" i="76"/>
  <c r="O15" i="76"/>
  <c r="N16" i="76"/>
  <c r="C16" i="76"/>
  <c r="B16" i="76"/>
  <c r="A16" i="76"/>
  <c r="O16" i="76"/>
  <c r="N17" i="76"/>
  <c r="C17" i="76"/>
  <c r="B17" i="76"/>
  <c r="A17" i="76"/>
  <c r="O17" i="76"/>
  <c r="N18" i="76"/>
  <c r="C18" i="76"/>
  <c r="B18" i="76"/>
  <c r="A18" i="76"/>
  <c r="O18" i="76"/>
  <c r="N19" i="76"/>
  <c r="C19" i="76"/>
  <c r="B19" i="76"/>
  <c r="A19" i="76"/>
  <c r="O19" i="76"/>
  <c r="C20" i="76"/>
  <c r="B20" i="76"/>
  <c r="A20" i="76"/>
  <c r="N20" i="76"/>
  <c r="O20" i="76"/>
  <c r="N21" i="76"/>
  <c r="C21" i="76"/>
  <c r="B21" i="76"/>
  <c r="A21" i="76"/>
  <c r="O21" i="76"/>
  <c r="N22" i="76"/>
  <c r="C22" i="76"/>
  <c r="B22" i="76"/>
  <c r="A22" i="76"/>
  <c r="O22" i="76"/>
  <c r="N23" i="76"/>
  <c r="C23" i="76"/>
  <c r="B23" i="76"/>
  <c r="A23" i="76"/>
  <c r="O23" i="76"/>
  <c r="N24" i="76"/>
  <c r="C24" i="76"/>
  <c r="B24" i="76"/>
  <c r="A24" i="76"/>
  <c r="O24" i="76"/>
  <c r="N25" i="76"/>
  <c r="C25" i="76"/>
  <c r="B25" i="76"/>
  <c r="A25" i="76"/>
  <c r="O25" i="76"/>
  <c r="N26" i="76"/>
  <c r="C26" i="76"/>
  <c r="B26" i="76"/>
  <c r="A26" i="76"/>
  <c r="O26" i="76"/>
  <c r="N27" i="76"/>
  <c r="C27" i="76"/>
  <c r="B27" i="76"/>
  <c r="A27" i="76"/>
  <c r="O27" i="76"/>
  <c r="N28" i="76"/>
  <c r="C28" i="76"/>
  <c r="B28" i="76"/>
  <c r="A28" i="76"/>
  <c r="O28" i="76"/>
  <c r="N29" i="76"/>
  <c r="C29" i="76"/>
  <c r="B29" i="76"/>
  <c r="A29" i="76"/>
  <c r="O29" i="76"/>
  <c r="N30" i="76"/>
  <c r="C30" i="76"/>
  <c r="B30" i="76"/>
  <c r="A30" i="76"/>
  <c r="O30" i="76"/>
  <c r="N31" i="76"/>
  <c r="C31" i="76"/>
  <c r="B31" i="76"/>
  <c r="A31" i="76"/>
  <c r="O31" i="76"/>
  <c r="N32" i="76"/>
  <c r="C32" i="76"/>
  <c r="B32" i="76"/>
  <c r="A32" i="76"/>
  <c r="O32" i="76"/>
  <c r="N33" i="76"/>
  <c r="C33" i="76"/>
  <c r="B33" i="76"/>
  <c r="A33" i="76"/>
  <c r="O33" i="76"/>
  <c r="N34" i="76"/>
  <c r="C34" i="76"/>
  <c r="B34" i="76"/>
  <c r="A34" i="76"/>
  <c r="O34" i="76"/>
  <c r="N35" i="76"/>
  <c r="C35" i="76"/>
  <c r="B35" i="76"/>
  <c r="A35" i="76"/>
  <c r="O35" i="76"/>
  <c r="N36" i="76"/>
  <c r="C36" i="76"/>
  <c r="B36" i="76"/>
  <c r="A36" i="76"/>
  <c r="O36" i="76"/>
  <c r="N37" i="76"/>
  <c r="C37" i="76"/>
  <c r="B37" i="76"/>
  <c r="A37" i="76"/>
  <c r="O37" i="76"/>
  <c r="N38" i="76"/>
  <c r="C38" i="76"/>
  <c r="B38" i="76"/>
  <c r="A38" i="76"/>
  <c r="O38" i="76"/>
  <c r="N39" i="76"/>
  <c r="C39" i="76"/>
  <c r="B39" i="76"/>
  <c r="A39" i="76"/>
  <c r="O39" i="76"/>
  <c r="N40" i="76"/>
  <c r="C40" i="76"/>
  <c r="B40" i="76"/>
  <c r="A40" i="76"/>
  <c r="O40" i="76"/>
  <c r="C41" i="76"/>
  <c r="B41" i="76"/>
  <c r="A41" i="76"/>
  <c r="N41" i="76"/>
  <c r="O41" i="76"/>
  <c r="N42" i="76"/>
  <c r="C42" i="76"/>
  <c r="B42" i="76"/>
  <c r="A42" i="76"/>
  <c r="O42" i="76"/>
  <c r="N43" i="76"/>
  <c r="C43" i="76"/>
  <c r="B43" i="76"/>
  <c r="A43" i="76"/>
  <c r="O43" i="76"/>
  <c r="C44" i="76"/>
  <c r="B44" i="76"/>
  <c r="A44" i="76"/>
  <c r="N44" i="76"/>
  <c r="O44" i="76"/>
  <c r="L14" i="76"/>
  <c r="L15" i="76"/>
  <c r="K6" i="76" s="1"/>
  <c r="L16" i="76"/>
  <c r="L17" i="76"/>
  <c r="L18" i="76"/>
  <c r="L19" i="76"/>
  <c r="L20" i="76"/>
  <c r="L21" i="76"/>
  <c r="L22" i="76"/>
  <c r="L23" i="76"/>
  <c r="L24" i="76"/>
  <c r="L25" i="76"/>
  <c r="L26" i="76"/>
  <c r="L27" i="76"/>
  <c r="L28" i="76"/>
  <c r="L29" i="76"/>
  <c r="L30" i="76"/>
  <c r="L31" i="76"/>
  <c r="L32" i="76"/>
  <c r="L33" i="76"/>
  <c r="L34" i="76"/>
  <c r="L35" i="76"/>
  <c r="L36" i="76"/>
  <c r="L37" i="76"/>
  <c r="L38" i="76"/>
  <c r="L39" i="76"/>
  <c r="L40" i="76"/>
  <c r="L41" i="76"/>
  <c r="L42" i="76"/>
  <c r="L43" i="76"/>
  <c r="L44" i="76"/>
  <c r="AA14" i="76"/>
  <c r="AA15" i="76"/>
  <c r="AA16" i="76"/>
  <c r="AA17" i="76"/>
  <c r="AA18" i="76"/>
  <c r="AA19" i="76"/>
  <c r="AA20" i="76"/>
  <c r="AA21" i="76"/>
  <c r="AA22" i="76"/>
  <c r="AA23" i="76"/>
  <c r="AA24" i="76"/>
  <c r="AA25" i="76"/>
  <c r="AA26" i="76"/>
  <c r="AA27" i="76"/>
  <c r="AA28" i="76"/>
  <c r="AA29" i="76"/>
  <c r="AA30" i="76"/>
  <c r="AA31" i="76"/>
  <c r="AA32" i="76"/>
  <c r="AA33" i="76"/>
  <c r="AA34" i="76"/>
  <c r="AA35" i="76"/>
  <c r="AA36" i="76"/>
  <c r="AA37" i="76"/>
  <c r="AA38" i="76"/>
  <c r="AA39" i="76"/>
  <c r="AA40" i="76"/>
  <c r="AA41" i="76"/>
  <c r="AA42" i="76"/>
  <c r="AA43" i="76"/>
  <c r="AA44" i="76"/>
  <c r="AA51" i="76"/>
  <c r="AA52" i="76"/>
  <c r="AB14" i="76"/>
  <c r="AB15" i="76"/>
  <c r="AB16" i="76"/>
  <c r="AB17" i="76"/>
  <c r="AB18" i="76"/>
  <c r="AB19" i="76"/>
  <c r="AB20" i="76"/>
  <c r="AB21" i="76"/>
  <c r="AB22" i="76"/>
  <c r="AB23" i="76"/>
  <c r="AB24" i="76"/>
  <c r="AB25" i="76"/>
  <c r="AB26" i="76"/>
  <c r="AB27" i="76"/>
  <c r="AB28" i="76"/>
  <c r="AB29" i="76"/>
  <c r="AB30" i="76"/>
  <c r="AB31" i="76"/>
  <c r="AB32" i="76"/>
  <c r="AB33" i="76"/>
  <c r="AB34" i="76"/>
  <c r="AB35" i="76"/>
  <c r="AB36" i="76"/>
  <c r="AB37" i="76"/>
  <c r="AB38" i="76"/>
  <c r="AB39" i="76"/>
  <c r="AB40" i="76"/>
  <c r="AB41" i="76"/>
  <c r="AB42" i="76"/>
  <c r="AB43" i="76"/>
  <c r="AB44" i="76"/>
  <c r="J102" i="3"/>
  <c r="L13" i="76"/>
  <c r="AD14" i="76"/>
  <c r="AD15" i="76"/>
  <c r="AD16" i="76"/>
  <c r="AD17" i="76"/>
  <c r="AD18" i="76"/>
  <c r="AD19" i="76"/>
  <c r="AD20" i="76"/>
  <c r="AD21" i="76"/>
  <c r="AD22" i="76"/>
  <c r="AD23" i="76"/>
  <c r="AD24" i="76"/>
  <c r="AD25" i="76"/>
  <c r="AD26" i="76"/>
  <c r="AD27" i="76"/>
  <c r="AD28" i="76"/>
  <c r="AD29" i="76"/>
  <c r="AD30" i="76"/>
  <c r="AD31" i="76"/>
  <c r="AD32" i="76"/>
  <c r="AD33" i="76"/>
  <c r="AD34" i="76"/>
  <c r="AD35" i="76"/>
  <c r="AD36" i="76"/>
  <c r="AD37" i="76"/>
  <c r="AD38" i="76"/>
  <c r="AD39" i="76"/>
  <c r="AD40" i="76"/>
  <c r="AD41" i="76"/>
  <c r="AD42" i="76"/>
  <c r="AD43" i="76"/>
  <c r="AD44" i="76"/>
  <c r="AD51" i="76"/>
  <c r="B14" i="73"/>
  <c r="A14" i="73"/>
  <c r="N14" i="73"/>
  <c r="O14" i="73"/>
  <c r="N15" i="73"/>
  <c r="C15" i="73"/>
  <c r="B15" i="73"/>
  <c r="A15" i="73"/>
  <c r="O15" i="73"/>
  <c r="N16" i="73"/>
  <c r="C16" i="73"/>
  <c r="B16" i="73"/>
  <c r="A16" i="73"/>
  <c r="O16" i="73"/>
  <c r="N17" i="73"/>
  <c r="C17" i="73"/>
  <c r="B17" i="73"/>
  <c r="A17" i="73"/>
  <c r="O17" i="73"/>
  <c r="N18" i="73"/>
  <c r="C18" i="73"/>
  <c r="B18" i="73"/>
  <c r="A18" i="73"/>
  <c r="O18" i="73"/>
  <c r="C19" i="73"/>
  <c r="B19" i="73"/>
  <c r="A19" i="73"/>
  <c r="N19" i="73"/>
  <c r="O19" i="73"/>
  <c r="C20" i="73"/>
  <c r="B20" i="73"/>
  <c r="A20" i="73"/>
  <c r="N20" i="73"/>
  <c r="O20" i="73"/>
  <c r="C21" i="73"/>
  <c r="B21" i="73"/>
  <c r="A21" i="73"/>
  <c r="N21" i="73"/>
  <c r="O21" i="73"/>
  <c r="C22" i="73"/>
  <c r="B22" i="73"/>
  <c r="A22" i="73"/>
  <c r="N22" i="73"/>
  <c r="O22" i="73"/>
  <c r="C23" i="73"/>
  <c r="B23" i="73"/>
  <c r="A23" i="73"/>
  <c r="N23" i="73"/>
  <c r="O23" i="73"/>
  <c r="N24" i="73"/>
  <c r="C24" i="73"/>
  <c r="B24" i="73"/>
  <c r="A24" i="73"/>
  <c r="O24" i="73"/>
  <c r="N25" i="73"/>
  <c r="C25" i="73"/>
  <c r="B25" i="73"/>
  <c r="A25" i="73"/>
  <c r="O25" i="73"/>
  <c r="N26" i="73"/>
  <c r="C26" i="73"/>
  <c r="B26" i="73"/>
  <c r="A26" i="73"/>
  <c r="O26" i="73"/>
  <c r="C27" i="73"/>
  <c r="B27" i="73"/>
  <c r="A27" i="73"/>
  <c r="N27" i="73"/>
  <c r="O27" i="73"/>
  <c r="C28" i="73"/>
  <c r="B28" i="73"/>
  <c r="A28" i="73"/>
  <c r="N28" i="73"/>
  <c r="O28" i="73"/>
  <c r="C29" i="73"/>
  <c r="B29" i="73"/>
  <c r="A29" i="73"/>
  <c r="N29" i="73"/>
  <c r="O29" i="73"/>
  <c r="N30" i="73"/>
  <c r="C30" i="73"/>
  <c r="B30" i="73"/>
  <c r="A30" i="73"/>
  <c r="O30" i="73"/>
  <c r="N31" i="73"/>
  <c r="C31" i="73"/>
  <c r="B31" i="73"/>
  <c r="A31" i="73"/>
  <c r="O31" i="73"/>
  <c r="N32" i="73"/>
  <c r="C32" i="73"/>
  <c r="B32" i="73"/>
  <c r="A32" i="73"/>
  <c r="O32" i="73"/>
  <c r="N33" i="73"/>
  <c r="C33" i="73"/>
  <c r="B33" i="73"/>
  <c r="A33" i="73"/>
  <c r="O33" i="73"/>
  <c r="C34" i="73"/>
  <c r="B34" i="73"/>
  <c r="A34" i="73"/>
  <c r="N34" i="73"/>
  <c r="O34" i="73"/>
  <c r="C35" i="73"/>
  <c r="B35" i="73"/>
  <c r="A35" i="73"/>
  <c r="N35" i="73"/>
  <c r="O35" i="73"/>
  <c r="N36" i="73"/>
  <c r="C36" i="73"/>
  <c r="B36" i="73"/>
  <c r="A36" i="73"/>
  <c r="O36" i="73"/>
  <c r="N37" i="73"/>
  <c r="C37" i="73"/>
  <c r="B37" i="73"/>
  <c r="A37" i="73"/>
  <c r="O37" i="73"/>
  <c r="N38" i="73"/>
  <c r="C38" i="73"/>
  <c r="B38" i="73"/>
  <c r="A38" i="73"/>
  <c r="O38" i="73"/>
  <c r="N39" i="73"/>
  <c r="C39" i="73"/>
  <c r="B39" i="73"/>
  <c r="A39" i="73"/>
  <c r="O39" i="73"/>
  <c r="C40" i="73"/>
  <c r="B40" i="73"/>
  <c r="A40" i="73"/>
  <c r="N40" i="73"/>
  <c r="O40" i="73"/>
  <c r="C41" i="73"/>
  <c r="B41" i="73"/>
  <c r="A41" i="73"/>
  <c r="N41" i="73"/>
  <c r="O41" i="73"/>
  <c r="E13" i="73"/>
  <c r="L14" i="73"/>
  <c r="L15" i="73"/>
  <c r="L16" i="73"/>
  <c r="L17" i="73"/>
  <c r="L18" i="73"/>
  <c r="L19" i="73"/>
  <c r="L20" i="73"/>
  <c r="L21" i="73"/>
  <c r="L22" i="73"/>
  <c r="L23" i="73"/>
  <c r="L24" i="73"/>
  <c r="L25" i="73"/>
  <c r="L26" i="73"/>
  <c r="L27" i="73"/>
  <c r="L28" i="73"/>
  <c r="L29" i="73"/>
  <c r="L30" i="73"/>
  <c r="L31" i="73"/>
  <c r="L32" i="73"/>
  <c r="L33" i="73"/>
  <c r="L34" i="73"/>
  <c r="L35" i="73"/>
  <c r="L36" i="73"/>
  <c r="L37" i="73"/>
  <c r="L38" i="73"/>
  <c r="L39" i="73"/>
  <c r="L40" i="73"/>
  <c r="L42" i="73"/>
  <c r="L41" i="73"/>
  <c r="AA14" i="73"/>
  <c r="AA15" i="73"/>
  <c r="AA16" i="73"/>
  <c r="AA17" i="73"/>
  <c r="AA18" i="73"/>
  <c r="AA19" i="73"/>
  <c r="AA20" i="73"/>
  <c r="AA21" i="73"/>
  <c r="AA22" i="73"/>
  <c r="AA23" i="73"/>
  <c r="AA24" i="73"/>
  <c r="AA25" i="73"/>
  <c r="AA26" i="73"/>
  <c r="AA27" i="73"/>
  <c r="AA28" i="73"/>
  <c r="AA29" i="73"/>
  <c r="AA30" i="73"/>
  <c r="AA31" i="73"/>
  <c r="AA32" i="73"/>
  <c r="AA33" i="73"/>
  <c r="AA34" i="73"/>
  <c r="AA35" i="73"/>
  <c r="AA36" i="73"/>
  <c r="AA37" i="73"/>
  <c r="AA38" i="73"/>
  <c r="AA39" i="73"/>
  <c r="AA40" i="73"/>
  <c r="AA41" i="73"/>
  <c r="AA51" i="73"/>
  <c r="AA52" i="73" s="1"/>
  <c r="AB14" i="73"/>
  <c r="AB15" i="73"/>
  <c r="AB16" i="73"/>
  <c r="AB17" i="73"/>
  <c r="AB18" i="73"/>
  <c r="AB19" i="73"/>
  <c r="AB20" i="73"/>
  <c r="AB21" i="73"/>
  <c r="AB22" i="73"/>
  <c r="AB23" i="73"/>
  <c r="AB24" i="73"/>
  <c r="AB25" i="73"/>
  <c r="AB26" i="73"/>
  <c r="AB27" i="73"/>
  <c r="AB28" i="73"/>
  <c r="AB29" i="73"/>
  <c r="AB30" i="73"/>
  <c r="AB31" i="73"/>
  <c r="AB32" i="73"/>
  <c r="AB33" i="73"/>
  <c r="AB34" i="73"/>
  <c r="AB35" i="73"/>
  <c r="AB36" i="73"/>
  <c r="AB37" i="73"/>
  <c r="AB38" i="73"/>
  <c r="AB39" i="73"/>
  <c r="AB40" i="73"/>
  <c r="AB41" i="73"/>
  <c r="J101" i="3"/>
  <c r="D13" i="73"/>
  <c r="L13" i="73"/>
  <c r="AD14" i="73"/>
  <c r="AD15" i="73"/>
  <c r="AD16" i="73"/>
  <c r="AD17" i="73"/>
  <c r="AD18" i="73"/>
  <c r="AD19" i="73"/>
  <c r="AD20" i="73"/>
  <c r="AD21" i="73"/>
  <c r="AD22" i="73"/>
  <c r="AD23" i="73"/>
  <c r="AD24" i="73"/>
  <c r="AD25" i="73"/>
  <c r="AD26" i="73"/>
  <c r="AD27" i="73"/>
  <c r="AD28" i="73"/>
  <c r="AD29" i="73"/>
  <c r="AD30" i="73"/>
  <c r="AD31" i="73"/>
  <c r="AD32" i="73"/>
  <c r="AD33" i="73"/>
  <c r="AD34" i="73"/>
  <c r="AD35" i="73"/>
  <c r="AD36" i="73"/>
  <c r="AD37" i="73"/>
  <c r="AD38" i="73"/>
  <c r="AD39" i="73"/>
  <c r="AD40" i="73"/>
  <c r="AD41" i="73"/>
  <c r="AD51" i="73"/>
  <c r="N14" i="86"/>
  <c r="B14" i="86"/>
  <c r="A14" i="86"/>
  <c r="O14" i="86"/>
  <c r="N15" i="86"/>
  <c r="C15" i="86"/>
  <c r="B15" i="86"/>
  <c r="A15" i="86"/>
  <c r="O15" i="86"/>
  <c r="N16" i="86"/>
  <c r="C16" i="86"/>
  <c r="B16" i="86"/>
  <c r="A16" i="86"/>
  <c r="O16" i="86"/>
  <c r="N17" i="86"/>
  <c r="C17" i="86"/>
  <c r="B17" i="86"/>
  <c r="A17" i="86"/>
  <c r="O17" i="86"/>
  <c r="N18" i="86"/>
  <c r="C18" i="86"/>
  <c r="B18" i="86"/>
  <c r="A18" i="86"/>
  <c r="O18" i="86"/>
  <c r="N19" i="86"/>
  <c r="C19" i="86"/>
  <c r="B19" i="86"/>
  <c r="A19" i="86"/>
  <c r="O19" i="86"/>
  <c r="N20" i="86"/>
  <c r="C20" i="86"/>
  <c r="B20" i="86"/>
  <c r="A20" i="86"/>
  <c r="O20" i="86"/>
  <c r="N21" i="86"/>
  <c r="C21" i="86"/>
  <c r="B21" i="86"/>
  <c r="A21" i="86"/>
  <c r="O21" i="86"/>
  <c r="N22" i="86"/>
  <c r="C22" i="86"/>
  <c r="B22" i="86"/>
  <c r="A22" i="86"/>
  <c r="O22" i="86"/>
  <c r="N23" i="86"/>
  <c r="C23" i="86"/>
  <c r="B23" i="86"/>
  <c r="A23" i="86"/>
  <c r="O23" i="86"/>
  <c r="N24" i="86"/>
  <c r="C24" i="86"/>
  <c r="B24" i="86"/>
  <c r="A24" i="86"/>
  <c r="O24" i="86"/>
  <c r="C25" i="86"/>
  <c r="B25" i="86"/>
  <c r="A25" i="86"/>
  <c r="N25" i="86"/>
  <c r="O25" i="86"/>
  <c r="N26" i="86"/>
  <c r="C26" i="86"/>
  <c r="B26" i="86"/>
  <c r="A26" i="86"/>
  <c r="O26" i="86"/>
  <c r="N27" i="86"/>
  <c r="C27" i="86"/>
  <c r="B27" i="86"/>
  <c r="A27" i="86"/>
  <c r="O27" i="86"/>
  <c r="N28" i="86"/>
  <c r="C28" i="86"/>
  <c r="B28" i="86"/>
  <c r="A28" i="86"/>
  <c r="O28" i="86"/>
  <c r="N29" i="86"/>
  <c r="C29" i="86"/>
  <c r="B29" i="86"/>
  <c r="A29" i="86"/>
  <c r="O29" i="86"/>
  <c r="N30" i="86"/>
  <c r="C30" i="86"/>
  <c r="B30" i="86"/>
  <c r="A30" i="86"/>
  <c r="O30" i="86"/>
  <c r="C31" i="86"/>
  <c r="B31" i="86"/>
  <c r="A31" i="86"/>
  <c r="N31" i="86"/>
  <c r="O31" i="86"/>
  <c r="C32" i="86"/>
  <c r="B32" i="86"/>
  <c r="A32" i="86"/>
  <c r="N32" i="86"/>
  <c r="O32" i="86"/>
  <c r="C33" i="86"/>
  <c r="B33" i="86"/>
  <c r="A33" i="86"/>
  <c r="N33" i="86"/>
  <c r="O33" i="86"/>
  <c r="N34" i="86"/>
  <c r="C34" i="86"/>
  <c r="B34" i="86"/>
  <c r="A34" i="86"/>
  <c r="O34" i="86"/>
  <c r="N35" i="86"/>
  <c r="C35" i="86"/>
  <c r="B35" i="86"/>
  <c r="A35" i="86"/>
  <c r="O35" i="86"/>
  <c r="N36" i="86"/>
  <c r="C36" i="86"/>
  <c r="B36" i="86"/>
  <c r="A36" i="86"/>
  <c r="O36" i="86"/>
  <c r="C37" i="86"/>
  <c r="B37" i="86"/>
  <c r="A37" i="86"/>
  <c r="N37" i="86"/>
  <c r="O37" i="86"/>
  <c r="C38" i="86"/>
  <c r="B38" i="86"/>
  <c r="A38" i="86"/>
  <c r="N38" i="86"/>
  <c r="O38" i="86"/>
  <c r="C39" i="86"/>
  <c r="B39" i="86"/>
  <c r="A39" i="86"/>
  <c r="N39" i="86"/>
  <c r="O39" i="86"/>
  <c r="N40" i="86"/>
  <c r="C40" i="86"/>
  <c r="B40" i="86"/>
  <c r="A40" i="86"/>
  <c r="O40" i="86"/>
  <c r="N41" i="86"/>
  <c r="C41" i="86"/>
  <c r="B41" i="86"/>
  <c r="A41" i="86"/>
  <c r="O41" i="86"/>
  <c r="N42" i="86"/>
  <c r="C42" i="86"/>
  <c r="B42" i="86"/>
  <c r="A42" i="86"/>
  <c r="O42" i="86"/>
  <c r="N43" i="86"/>
  <c r="C43" i="86"/>
  <c r="B43" i="86"/>
  <c r="A43" i="86"/>
  <c r="O43" i="86"/>
  <c r="C44" i="86"/>
  <c r="B44" i="86"/>
  <c r="A44" i="86"/>
  <c r="N44" i="86"/>
  <c r="O44" i="86"/>
  <c r="L14" i="86"/>
  <c r="L15" i="86"/>
  <c r="L16" i="86"/>
  <c r="L17" i="86"/>
  <c r="L18" i="86"/>
  <c r="L19" i="86"/>
  <c r="L20" i="86"/>
  <c r="L21" i="86"/>
  <c r="L22" i="86"/>
  <c r="L23" i="86"/>
  <c r="L24" i="86"/>
  <c r="L25" i="86"/>
  <c r="L26" i="86"/>
  <c r="L27" i="86"/>
  <c r="L28" i="86"/>
  <c r="L29" i="86"/>
  <c r="L30" i="86"/>
  <c r="L31" i="86"/>
  <c r="L32" i="86"/>
  <c r="L33" i="86"/>
  <c r="L34" i="86"/>
  <c r="L35" i="86"/>
  <c r="L36" i="86"/>
  <c r="L37" i="86"/>
  <c r="L38" i="86"/>
  <c r="L39" i="86"/>
  <c r="L40" i="86"/>
  <c r="L41" i="86"/>
  <c r="L42" i="86"/>
  <c r="L43" i="86"/>
  <c r="L44" i="86"/>
  <c r="AA14" i="86"/>
  <c r="AA15" i="86"/>
  <c r="AA16" i="86"/>
  <c r="AA17" i="86"/>
  <c r="AA18" i="86"/>
  <c r="AA19" i="86"/>
  <c r="AA20" i="86"/>
  <c r="AA21" i="86"/>
  <c r="AA22" i="86"/>
  <c r="AA23" i="86"/>
  <c r="AA24" i="86"/>
  <c r="AA25" i="86"/>
  <c r="AA26" i="86"/>
  <c r="AA27" i="86"/>
  <c r="AA28" i="86"/>
  <c r="AA29" i="86"/>
  <c r="AA30" i="86"/>
  <c r="AA31" i="86"/>
  <c r="AA32" i="86"/>
  <c r="AA33" i="86"/>
  <c r="AA34" i="86"/>
  <c r="AA35" i="86"/>
  <c r="AA36" i="86"/>
  <c r="AA37" i="86"/>
  <c r="AA38" i="86"/>
  <c r="AA39" i="86"/>
  <c r="AA40" i="86"/>
  <c r="AA41" i="86"/>
  <c r="AA42" i="86"/>
  <c r="AA43" i="86"/>
  <c r="AA44" i="86"/>
  <c r="AB14" i="86"/>
  <c r="AB15" i="86"/>
  <c r="AB16" i="86"/>
  <c r="AB17" i="86"/>
  <c r="AB18" i="86"/>
  <c r="AB19" i="86"/>
  <c r="AB20" i="86"/>
  <c r="AB21" i="86"/>
  <c r="AB22" i="86"/>
  <c r="AB23" i="86"/>
  <c r="AB24" i="86"/>
  <c r="AB25" i="86"/>
  <c r="AB26" i="86"/>
  <c r="AB27" i="86"/>
  <c r="AB28" i="86"/>
  <c r="AB29" i="86"/>
  <c r="AB30" i="86"/>
  <c r="AB31" i="86"/>
  <c r="AB32" i="86"/>
  <c r="AB33" i="86"/>
  <c r="AB34" i="86"/>
  <c r="AB35" i="86"/>
  <c r="AB36" i="86"/>
  <c r="AB37" i="86"/>
  <c r="AB38" i="86"/>
  <c r="AB39" i="86"/>
  <c r="AB40" i="86"/>
  <c r="AB41" i="86"/>
  <c r="AB42" i="86"/>
  <c r="AB43" i="86"/>
  <c r="AB44" i="86"/>
  <c r="J100" i="3"/>
  <c r="B14" i="92"/>
  <c r="A14" i="92"/>
  <c r="N14" i="92"/>
  <c r="O14" i="92"/>
  <c r="N15" i="92"/>
  <c r="B15" i="92"/>
  <c r="A15" i="92"/>
  <c r="O15" i="92"/>
  <c r="N16" i="92"/>
  <c r="B16" i="92"/>
  <c r="A16" i="92"/>
  <c r="O16" i="92"/>
  <c r="N17" i="92"/>
  <c r="B17" i="92"/>
  <c r="A17" i="92"/>
  <c r="O17" i="92"/>
  <c r="B18" i="92"/>
  <c r="A18" i="92"/>
  <c r="N18" i="92"/>
  <c r="O18" i="92"/>
  <c r="B19" i="92"/>
  <c r="A19" i="92"/>
  <c r="N19" i="92"/>
  <c r="O19" i="92"/>
  <c r="N20" i="92"/>
  <c r="B20" i="92"/>
  <c r="A20" i="92"/>
  <c r="O20" i="92"/>
  <c r="N21" i="92"/>
  <c r="B21" i="92"/>
  <c r="A21" i="92"/>
  <c r="O21" i="92"/>
  <c r="N22" i="92"/>
  <c r="B22" i="92"/>
  <c r="A22" i="92"/>
  <c r="O22" i="92"/>
  <c r="N23" i="92"/>
  <c r="B23" i="92"/>
  <c r="A23" i="92"/>
  <c r="O23" i="92"/>
  <c r="N24" i="92"/>
  <c r="B24" i="92"/>
  <c r="A24" i="92"/>
  <c r="O24" i="92"/>
  <c r="N25" i="92"/>
  <c r="B25" i="92"/>
  <c r="A25" i="92"/>
  <c r="O25" i="92"/>
  <c r="B26" i="92"/>
  <c r="A26" i="92"/>
  <c r="N26" i="92"/>
  <c r="O26" i="92"/>
  <c r="B27" i="92"/>
  <c r="A27" i="92"/>
  <c r="N27" i="92"/>
  <c r="O27" i="92"/>
  <c r="N28" i="92"/>
  <c r="B28" i="92"/>
  <c r="A28" i="92"/>
  <c r="O28" i="92"/>
  <c r="N29" i="92"/>
  <c r="B29" i="92"/>
  <c r="A29" i="92"/>
  <c r="O29" i="92"/>
  <c r="N30" i="92"/>
  <c r="B30" i="92"/>
  <c r="A30" i="92"/>
  <c r="O30" i="92"/>
  <c r="B31" i="92"/>
  <c r="A31" i="92"/>
  <c r="N31" i="92"/>
  <c r="O31" i="92"/>
  <c r="N32" i="92"/>
  <c r="B32" i="92"/>
  <c r="A32" i="92"/>
  <c r="O32" i="92"/>
  <c r="B33" i="92"/>
  <c r="A33" i="92"/>
  <c r="N33" i="92"/>
  <c r="O33" i="92"/>
  <c r="N34" i="92"/>
  <c r="B34" i="92"/>
  <c r="A34" i="92"/>
  <c r="O34" i="92"/>
  <c r="N35" i="92"/>
  <c r="B35" i="92"/>
  <c r="A35" i="92"/>
  <c r="O35" i="92"/>
  <c r="N36" i="92"/>
  <c r="B36" i="92"/>
  <c r="A36" i="92"/>
  <c r="O36" i="92"/>
  <c r="N37" i="92"/>
  <c r="B37" i="92"/>
  <c r="A37" i="92"/>
  <c r="O37" i="92"/>
  <c r="N38" i="92"/>
  <c r="B38" i="92"/>
  <c r="A38" i="92"/>
  <c r="O38" i="92"/>
  <c r="N39" i="92"/>
  <c r="B39" i="92"/>
  <c r="A39" i="92"/>
  <c r="O39" i="92"/>
  <c r="N43" i="92"/>
  <c r="C43" i="92"/>
  <c r="B43" i="92"/>
  <c r="A43" i="92"/>
  <c r="O43" i="92"/>
  <c r="N44" i="92"/>
  <c r="C44" i="92"/>
  <c r="B44" i="92"/>
  <c r="A44" i="92"/>
  <c r="O44" i="92"/>
  <c r="E13" i="92"/>
  <c r="L14" i="92"/>
  <c r="L15" i="92"/>
  <c r="L16" i="92"/>
  <c r="L17" i="92"/>
  <c r="L18" i="92"/>
  <c r="L19" i="92"/>
  <c r="L20" i="92"/>
  <c r="L21" i="92"/>
  <c r="L22" i="92"/>
  <c r="L23" i="92"/>
  <c r="L24" i="92"/>
  <c r="L25" i="92"/>
  <c r="L26" i="92"/>
  <c r="L27" i="92"/>
  <c r="L28" i="92"/>
  <c r="L29" i="92"/>
  <c r="L30" i="92"/>
  <c r="L31" i="92"/>
  <c r="L32" i="92"/>
  <c r="L33" i="92"/>
  <c r="L34" i="92"/>
  <c r="L35" i="92"/>
  <c r="L36" i="92"/>
  <c r="L37" i="92"/>
  <c r="L38" i="92"/>
  <c r="L39" i="92"/>
  <c r="L40" i="92"/>
  <c r="L41" i="92"/>
  <c r="L42" i="92"/>
  <c r="L43" i="92"/>
  <c r="L44" i="92"/>
  <c r="AA14" i="92"/>
  <c r="AA15" i="92"/>
  <c r="AA16" i="92"/>
  <c r="AA17" i="92"/>
  <c r="AA18" i="92"/>
  <c r="AA19" i="92"/>
  <c r="AA20" i="92"/>
  <c r="AA21" i="92"/>
  <c r="AA22" i="92"/>
  <c r="AA23" i="92"/>
  <c r="AA24" i="92"/>
  <c r="AA25" i="92"/>
  <c r="AA26" i="92"/>
  <c r="AA27" i="92"/>
  <c r="AA28" i="92"/>
  <c r="AA29" i="92"/>
  <c r="AA30" i="92"/>
  <c r="AA31" i="92"/>
  <c r="AA32" i="92"/>
  <c r="AA33" i="92"/>
  <c r="AA34" i="92"/>
  <c r="AA35" i="92"/>
  <c r="AA36" i="92"/>
  <c r="AA37" i="92"/>
  <c r="AA38" i="92"/>
  <c r="AA39" i="92"/>
  <c r="AA40" i="92"/>
  <c r="AA41" i="92"/>
  <c r="AA42" i="92"/>
  <c r="AA43" i="92"/>
  <c r="AA44" i="92"/>
  <c r="AA51" i="92"/>
  <c r="AA52" i="92"/>
  <c r="AB14" i="92"/>
  <c r="AB15" i="92"/>
  <c r="AB16" i="92"/>
  <c r="AB17" i="92"/>
  <c r="AB18" i="92"/>
  <c r="AB19" i="92"/>
  <c r="AB20" i="92"/>
  <c r="AB21" i="92"/>
  <c r="AB22" i="92"/>
  <c r="AB23" i="92"/>
  <c r="AB24" i="92"/>
  <c r="AB25" i="92"/>
  <c r="AB26" i="92"/>
  <c r="AB27" i="92"/>
  <c r="AB28" i="92"/>
  <c r="AB29" i="92"/>
  <c r="AB30" i="92"/>
  <c r="AB31" i="92"/>
  <c r="AB32" i="92"/>
  <c r="AB33" i="92"/>
  <c r="AB34" i="92"/>
  <c r="AB35" i="92"/>
  <c r="AB36" i="92"/>
  <c r="AB37" i="92"/>
  <c r="AB38" i="92"/>
  <c r="AB39" i="92"/>
  <c r="AB40" i="92"/>
  <c r="AB41" i="92"/>
  <c r="AB42" i="92"/>
  <c r="AB43" i="92"/>
  <c r="AB44" i="92"/>
  <c r="I114" i="3"/>
  <c r="J114" i="3"/>
  <c r="D13" i="92"/>
  <c r="L13" i="92"/>
  <c r="AD14" i="92"/>
  <c r="AD15" i="92"/>
  <c r="AD16" i="92"/>
  <c r="AD17" i="92"/>
  <c r="AD18" i="92"/>
  <c r="AD19" i="92"/>
  <c r="AD20" i="92"/>
  <c r="AD21" i="92"/>
  <c r="AD22" i="92"/>
  <c r="AD23" i="92"/>
  <c r="AD24" i="92"/>
  <c r="AD25" i="92"/>
  <c r="AD26" i="92"/>
  <c r="AD27" i="92"/>
  <c r="AD28" i="92"/>
  <c r="AD29" i="92"/>
  <c r="AD30" i="92"/>
  <c r="AD31" i="92"/>
  <c r="AD32" i="92"/>
  <c r="AD33" i="92"/>
  <c r="AD34" i="92"/>
  <c r="AD35" i="92"/>
  <c r="AD36" i="92"/>
  <c r="AD37" i="92"/>
  <c r="AD38" i="92"/>
  <c r="AD39" i="92"/>
  <c r="AD40" i="92"/>
  <c r="AD41" i="92"/>
  <c r="AD42" i="92"/>
  <c r="AD43" i="92"/>
  <c r="AD44" i="92"/>
  <c r="AD51" i="92"/>
  <c r="N14" i="91"/>
  <c r="B14" i="91"/>
  <c r="A14" i="91"/>
  <c r="O14" i="91"/>
  <c r="N15" i="91"/>
  <c r="C15" i="91"/>
  <c r="B15" i="91"/>
  <c r="A15" i="91"/>
  <c r="O15" i="91"/>
  <c r="N16" i="91"/>
  <c r="C16" i="91"/>
  <c r="B16" i="91"/>
  <c r="A16" i="91"/>
  <c r="O16" i="91"/>
  <c r="N17" i="91"/>
  <c r="C17" i="91"/>
  <c r="B17" i="91"/>
  <c r="A17" i="91"/>
  <c r="O17" i="91"/>
  <c r="N18" i="91"/>
  <c r="C18" i="91"/>
  <c r="B18" i="91"/>
  <c r="A18" i="91"/>
  <c r="O18" i="91"/>
  <c r="N19" i="91"/>
  <c r="C19" i="91"/>
  <c r="B19" i="91"/>
  <c r="A19" i="91"/>
  <c r="O19" i="91"/>
  <c r="N20" i="91"/>
  <c r="C20" i="91"/>
  <c r="B20" i="91"/>
  <c r="A20" i="91"/>
  <c r="O20" i="91"/>
  <c r="N21" i="91"/>
  <c r="C21" i="91"/>
  <c r="B21" i="91"/>
  <c r="A21" i="91"/>
  <c r="O21" i="91"/>
  <c r="N22" i="91"/>
  <c r="C22" i="91"/>
  <c r="B22" i="91"/>
  <c r="A22" i="91"/>
  <c r="O22" i="91"/>
  <c r="N23" i="91"/>
  <c r="C23" i="91"/>
  <c r="B23" i="91"/>
  <c r="A23" i="91"/>
  <c r="O23" i="91"/>
  <c r="N24" i="91"/>
  <c r="C24" i="91"/>
  <c r="B24" i="91"/>
  <c r="A24" i="91"/>
  <c r="O24" i="91"/>
  <c r="N25" i="91"/>
  <c r="C25" i="91"/>
  <c r="B25" i="91"/>
  <c r="A25" i="91"/>
  <c r="O25" i="91"/>
  <c r="C26" i="91"/>
  <c r="B26" i="91"/>
  <c r="A26" i="91"/>
  <c r="N26" i="91"/>
  <c r="O26" i="91"/>
  <c r="C27" i="91"/>
  <c r="B27" i="91"/>
  <c r="A27" i="91"/>
  <c r="N27" i="91"/>
  <c r="O27" i="91"/>
  <c r="N28" i="91"/>
  <c r="C28" i="91"/>
  <c r="B28" i="91"/>
  <c r="A28" i="91"/>
  <c r="O28" i="91"/>
  <c r="N29" i="91"/>
  <c r="C29" i="91"/>
  <c r="B29" i="91"/>
  <c r="A29" i="91"/>
  <c r="O29" i="91"/>
  <c r="N30" i="91"/>
  <c r="C30" i="91"/>
  <c r="B30" i="91"/>
  <c r="A30" i="91"/>
  <c r="O30" i="91"/>
  <c r="N31" i="91"/>
  <c r="C31" i="91"/>
  <c r="B31" i="91"/>
  <c r="A31" i="91"/>
  <c r="O31" i="91"/>
  <c r="N32" i="91"/>
  <c r="C32" i="91"/>
  <c r="B32" i="91"/>
  <c r="A32" i="91"/>
  <c r="O32" i="91"/>
  <c r="N33" i="91"/>
  <c r="C33" i="91"/>
  <c r="B33" i="91"/>
  <c r="A33" i="91"/>
  <c r="O33" i="91"/>
  <c r="C34" i="91"/>
  <c r="B34" i="91"/>
  <c r="A34" i="91"/>
  <c r="N34" i="91"/>
  <c r="O34" i="91"/>
  <c r="C35" i="91"/>
  <c r="B35" i="91"/>
  <c r="A35" i="91"/>
  <c r="N35" i="91"/>
  <c r="O35" i="91"/>
  <c r="C36" i="91"/>
  <c r="B36" i="91"/>
  <c r="A36" i="91"/>
  <c r="N36" i="91"/>
  <c r="O36" i="91"/>
  <c r="N37" i="91"/>
  <c r="C37" i="91"/>
  <c r="B37" i="91"/>
  <c r="A37" i="91"/>
  <c r="O37" i="91"/>
  <c r="N38" i="91"/>
  <c r="C38" i="91"/>
  <c r="B38" i="91"/>
  <c r="A38" i="91"/>
  <c r="O38" i="91"/>
  <c r="C39" i="91"/>
  <c r="B39" i="91"/>
  <c r="A39" i="91"/>
  <c r="N39" i="91"/>
  <c r="O39" i="91"/>
  <c r="C40" i="91"/>
  <c r="B40" i="91"/>
  <c r="A40" i="91"/>
  <c r="N40" i="91"/>
  <c r="O40" i="91"/>
  <c r="N41" i="91"/>
  <c r="C41" i="91"/>
  <c r="B41" i="91"/>
  <c r="A41" i="91"/>
  <c r="O41" i="91"/>
  <c r="L14" i="91"/>
  <c r="L15" i="91"/>
  <c r="L16" i="91"/>
  <c r="L17" i="91"/>
  <c r="L18" i="91"/>
  <c r="L19" i="91"/>
  <c r="L20" i="91"/>
  <c r="L21" i="91"/>
  <c r="L22" i="91"/>
  <c r="L23" i="91"/>
  <c r="L24" i="91"/>
  <c r="L25" i="91"/>
  <c r="L26" i="91"/>
  <c r="L27" i="91"/>
  <c r="L28" i="91"/>
  <c r="L29" i="91"/>
  <c r="L30" i="91"/>
  <c r="L31" i="91"/>
  <c r="L32" i="91"/>
  <c r="L33" i="91"/>
  <c r="L34" i="91"/>
  <c r="L35" i="91"/>
  <c r="L36" i="91"/>
  <c r="L37" i="91"/>
  <c r="L38" i="91"/>
  <c r="L39" i="91"/>
  <c r="L40" i="91"/>
  <c r="L42" i="91"/>
  <c r="L41" i="91"/>
  <c r="E13" i="91"/>
  <c r="AA14" i="91"/>
  <c r="AA15" i="91"/>
  <c r="AA16" i="91"/>
  <c r="AA17" i="91"/>
  <c r="AA18" i="91"/>
  <c r="AA19" i="91"/>
  <c r="AA20" i="91"/>
  <c r="AA21" i="91"/>
  <c r="AA22" i="91"/>
  <c r="AA23" i="91"/>
  <c r="AA24" i="91"/>
  <c r="AA25" i="91"/>
  <c r="AA26" i="91"/>
  <c r="AA27" i="91"/>
  <c r="AA28" i="91"/>
  <c r="AA29" i="91"/>
  <c r="AA30" i="91"/>
  <c r="AA31" i="91"/>
  <c r="AA32" i="91"/>
  <c r="AA33" i="91"/>
  <c r="AA34" i="91"/>
  <c r="AA35" i="91"/>
  <c r="AA36" i="91"/>
  <c r="AA37" i="91"/>
  <c r="AA38" i="91"/>
  <c r="AA39" i="91"/>
  <c r="AA40" i="91"/>
  <c r="AA41" i="91"/>
  <c r="AA51" i="91"/>
  <c r="AB14" i="91"/>
  <c r="AB15" i="91"/>
  <c r="AB16" i="91"/>
  <c r="AB17" i="91"/>
  <c r="AB18" i="91"/>
  <c r="AB19" i="91"/>
  <c r="AB20" i="91"/>
  <c r="AB21" i="91"/>
  <c r="AB22" i="91"/>
  <c r="AB23" i="91"/>
  <c r="AB24" i="91"/>
  <c r="AB25" i="91"/>
  <c r="AB26" i="91"/>
  <c r="AB27" i="91"/>
  <c r="AB28" i="91"/>
  <c r="AB29" i="91"/>
  <c r="AB30" i="91"/>
  <c r="AB31" i="91"/>
  <c r="AB32" i="91"/>
  <c r="AB33" i="91"/>
  <c r="AB34" i="91"/>
  <c r="AB35" i="91"/>
  <c r="AB36" i="91"/>
  <c r="AB37" i="91"/>
  <c r="AB38" i="91"/>
  <c r="AB39" i="91"/>
  <c r="AB40" i="91"/>
  <c r="AB41" i="91"/>
  <c r="AB51" i="91"/>
  <c r="AA52" i="91"/>
  <c r="AB52" i="91"/>
  <c r="I113" i="3"/>
  <c r="J113" i="3"/>
  <c r="D13" i="91"/>
  <c r="L13" i="91"/>
  <c r="AD14" i="91"/>
  <c r="AD15" i="91"/>
  <c r="AD16" i="91"/>
  <c r="AD17" i="91"/>
  <c r="AD18" i="91"/>
  <c r="AD19" i="91"/>
  <c r="AD20" i="91"/>
  <c r="AD21" i="91"/>
  <c r="AD22" i="91"/>
  <c r="AD23" i="91"/>
  <c r="AD24" i="91"/>
  <c r="AD25" i="91"/>
  <c r="AD26" i="91"/>
  <c r="AD27" i="91"/>
  <c r="AD28" i="91"/>
  <c r="AD29" i="91"/>
  <c r="AD30" i="91"/>
  <c r="AD31" i="91"/>
  <c r="AD32" i="91"/>
  <c r="AD33" i="91"/>
  <c r="AD34" i="91"/>
  <c r="AD35" i="91"/>
  <c r="AD36" i="91"/>
  <c r="AD37" i="91"/>
  <c r="AD38" i="91"/>
  <c r="AD39" i="91"/>
  <c r="AD40" i="91"/>
  <c r="AD41" i="91"/>
  <c r="AD51" i="91"/>
  <c r="AC14" i="91"/>
  <c r="AC15" i="91"/>
  <c r="AC16" i="91"/>
  <c r="AC17" i="91"/>
  <c r="AC18" i="91"/>
  <c r="AC19" i="91"/>
  <c r="AC20" i="91"/>
  <c r="AC21" i="91"/>
  <c r="AC22" i="91"/>
  <c r="AC23" i="91"/>
  <c r="AC24" i="91"/>
  <c r="AC25" i="91"/>
  <c r="AC26" i="91"/>
  <c r="AC27" i="91"/>
  <c r="AC28" i="91"/>
  <c r="AC29" i="91"/>
  <c r="AC30" i="91"/>
  <c r="AC31" i="91"/>
  <c r="AC32" i="91"/>
  <c r="AC33" i="91"/>
  <c r="AC34" i="91"/>
  <c r="AC35" i="91"/>
  <c r="AC36" i="91"/>
  <c r="AC37" i="91"/>
  <c r="AC38" i="91"/>
  <c r="AC39" i="91"/>
  <c r="AC40" i="91"/>
  <c r="AC41" i="91"/>
  <c r="AC51" i="91"/>
  <c r="N14" i="87"/>
  <c r="B14" i="87"/>
  <c r="C84" i="3"/>
  <c r="A14" i="87"/>
  <c r="O14" i="87"/>
  <c r="N15" i="87"/>
  <c r="C15" i="87"/>
  <c r="B15" i="87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A15" i="87"/>
  <c r="O15" i="87"/>
  <c r="N16" i="87"/>
  <c r="C16" i="87"/>
  <c r="B16" i="87"/>
  <c r="A16" i="87"/>
  <c r="O16" i="87"/>
  <c r="N17" i="87"/>
  <c r="C17" i="87"/>
  <c r="B17" i="87"/>
  <c r="A17" i="87"/>
  <c r="O17" i="87"/>
  <c r="N18" i="87"/>
  <c r="C18" i="87"/>
  <c r="B18" i="87"/>
  <c r="A18" i="87"/>
  <c r="O18" i="87"/>
  <c r="N19" i="87"/>
  <c r="C19" i="87"/>
  <c r="B19" i="87"/>
  <c r="A19" i="87"/>
  <c r="O19" i="87"/>
  <c r="N20" i="87"/>
  <c r="C20" i="87"/>
  <c r="B20" i="87"/>
  <c r="A20" i="87"/>
  <c r="O20" i="87"/>
  <c r="N21" i="87"/>
  <c r="C21" i="87"/>
  <c r="B21" i="87"/>
  <c r="A21" i="87"/>
  <c r="O21" i="87"/>
  <c r="N22" i="87"/>
  <c r="C22" i="87"/>
  <c r="B22" i="87"/>
  <c r="A22" i="87"/>
  <c r="O22" i="87"/>
  <c r="N23" i="87"/>
  <c r="C23" i="87"/>
  <c r="B23" i="87"/>
  <c r="A23" i="87"/>
  <c r="O23" i="87"/>
  <c r="N24" i="87"/>
  <c r="C24" i="87"/>
  <c r="B24" i="87"/>
  <c r="A24" i="87"/>
  <c r="O24" i="87"/>
  <c r="N25" i="87"/>
  <c r="C25" i="87"/>
  <c r="B25" i="87"/>
  <c r="A25" i="87"/>
  <c r="O25" i="87"/>
  <c r="N26" i="87"/>
  <c r="C26" i="87"/>
  <c r="B26" i="87"/>
  <c r="A26" i="87"/>
  <c r="O26" i="87"/>
  <c r="N27" i="87"/>
  <c r="C27" i="87"/>
  <c r="B27" i="87"/>
  <c r="A27" i="87"/>
  <c r="O27" i="87"/>
  <c r="N28" i="87"/>
  <c r="C28" i="87"/>
  <c r="B28" i="87"/>
  <c r="A28" i="87"/>
  <c r="O28" i="87"/>
  <c r="C29" i="87"/>
  <c r="B29" i="87"/>
  <c r="A29" i="87"/>
  <c r="N29" i="87"/>
  <c r="O29" i="87"/>
  <c r="N30" i="87"/>
  <c r="C30" i="87"/>
  <c r="B30" i="87"/>
  <c r="A30" i="87"/>
  <c r="O30" i="87"/>
  <c r="N31" i="87"/>
  <c r="C31" i="87"/>
  <c r="B31" i="87"/>
  <c r="A31" i="87"/>
  <c r="O31" i="87"/>
  <c r="C32" i="87"/>
  <c r="B32" i="87"/>
  <c r="A32" i="87"/>
  <c r="N32" i="87"/>
  <c r="O32" i="87"/>
  <c r="N33" i="87"/>
  <c r="C33" i="87"/>
  <c r="B33" i="87"/>
  <c r="A33" i="87"/>
  <c r="O33" i="87"/>
  <c r="N34" i="87"/>
  <c r="C34" i="87"/>
  <c r="B34" i="87"/>
  <c r="A34" i="87"/>
  <c r="O34" i="87"/>
  <c r="C35" i="87"/>
  <c r="B35" i="87"/>
  <c r="A35" i="87"/>
  <c r="N35" i="87"/>
  <c r="O35" i="87"/>
  <c r="C36" i="87"/>
  <c r="B36" i="87"/>
  <c r="A36" i="87"/>
  <c r="N36" i="87"/>
  <c r="O36" i="87"/>
  <c r="N37" i="87"/>
  <c r="C37" i="87"/>
  <c r="B37" i="87"/>
  <c r="A37" i="87"/>
  <c r="O37" i="87"/>
  <c r="N38" i="87"/>
  <c r="C38" i="87"/>
  <c r="B38" i="87"/>
  <c r="A38" i="87"/>
  <c r="O38" i="87"/>
  <c r="N39" i="87"/>
  <c r="C39" i="87"/>
  <c r="B39" i="87"/>
  <c r="A39" i="87"/>
  <c r="O39" i="87"/>
  <c r="N40" i="87"/>
  <c r="C40" i="87"/>
  <c r="B40" i="87"/>
  <c r="A40" i="87"/>
  <c r="O40" i="87"/>
  <c r="N41" i="87"/>
  <c r="C41" i="87"/>
  <c r="B41" i="87"/>
  <c r="A41" i="87"/>
  <c r="O41" i="87"/>
  <c r="N42" i="87"/>
  <c r="C42" i="87"/>
  <c r="B42" i="87"/>
  <c r="A42" i="87"/>
  <c r="O42" i="87"/>
  <c r="C43" i="87"/>
  <c r="B43" i="87"/>
  <c r="A43" i="87"/>
  <c r="N43" i="87"/>
  <c r="O43" i="87"/>
  <c r="C44" i="87"/>
  <c r="B44" i="87"/>
  <c r="A44" i="87"/>
  <c r="N44" i="87"/>
  <c r="O44" i="87"/>
  <c r="L14" i="87"/>
  <c r="L15" i="87"/>
  <c r="L16" i="87"/>
  <c r="L17" i="87"/>
  <c r="L18" i="87"/>
  <c r="L19" i="87"/>
  <c r="L20" i="87"/>
  <c r="L21" i="87"/>
  <c r="L22" i="87"/>
  <c r="L23" i="87"/>
  <c r="L24" i="87"/>
  <c r="L25" i="87"/>
  <c r="L26" i="87"/>
  <c r="L27" i="87"/>
  <c r="L28" i="87"/>
  <c r="L29" i="87"/>
  <c r="L30" i="87"/>
  <c r="L31" i="87"/>
  <c r="L32" i="87"/>
  <c r="L33" i="87"/>
  <c r="L34" i="87"/>
  <c r="L35" i="87"/>
  <c r="L36" i="87"/>
  <c r="L37" i="87"/>
  <c r="L38" i="87"/>
  <c r="L39" i="87"/>
  <c r="L40" i="87"/>
  <c r="L41" i="87"/>
  <c r="L42" i="87"/>
  <c r="L43" i="87"/>
  <c r="L45" i="87"/>
  <c r="L44" i="87"/>
  <c r="E13" i="87"/>
  <c r="AA14" i="87"/>
  <c r="AA15" i="87"/>
  <c r="AA16" i="87"/>
  <c r="AA17" i="87"/>
  <c r="AA18" i="87"/>
  <c r="AA19" i="87"/>
  <c r="AA20" i="87"/>
  <c r="AA21" i="87"/>
  <c r="AA22" i="87"/>
  <c r="AA23" i="87"/>
  <c r="AA24" i="87"/>
  <c r="AA25" i="87"/>
  <c r="AA26" i="87"/>
  <c r="AA27" i="87"/>
  <c r="AA28" i="87"/>
  <c r="AA29" i="87"/>
  <c r="AA30" i="87"/>
  <c r="AA31" i="87"/>
  <c r="AA32" i="87"/>
  <c r="AA33" i="87"/>
  <c r="AA34" i="87"/>
  <c r="AA35" i="87"/>
  <c r="AA36" i="87"/>
  <c r="AA37" i="87"/>
  <c r="AA38" i="87"/>
  <c r="AA39" i="87"/>
  <c r="AA40" i="87"/>
  <c r="AA41" i="87"/>
  <c r="AA42" i="87"/>
  <c r="AA43" i="87"/>
  <c r="AA44" i="87"/>
  <c r="AA51" i="87"/>
  <c r="AA52" i="87"/>
  <c r="AB14" i="87"/>
  <c r="AB15" i="87"/>
  <c r="AB16" i="87"/>
  <c r="AB17" i="87"/>
  <c r="AB18" i="87"/>
  <c r="AB19" i="87"/>
  <c r="AB20" i="87"/>
  <c r="AB21" i="87"/>
  <c r="AB22" i="87"/>
  <c r="AB23" i="87"/>
  <c r="AB24" i="87"/>
  <c r="AB25" i="87"/>
  <c r="AB26" i="87"/>
  <c r="AB27" i="87"/>
  <c r="AB28" i="87"/>
  <c r="AB29" i="87"/>
  <c r="AB30" i="87"/>
  <c r="AB31" i="87"/>
  <c r="AB32" i="87"/>
  <c r="AB33" i="87"/>
  <c r="AB34" i="87"/>
  <c r="AB35" i="87"/>
  <c r="AB36" i="87"/>
  <c r="AB37" i="87"/>
  <c r="AB38" i="87"/>
  <c r="AB39" i="87"/>
  <c r="AB40" i="87"/>
  <c r="AB41" i="87"/>
  <c r="AB42" i="87"/>
  <c r="AB43" i="87"/>
  <c r="AB44" i="87"/>
  <c r="I112" i="3"/>
  <c r="J112" i="3"/>
  <c r="D13" i="87"/>
  <c r="L13" i="87"/>
  <c r="AD14" i="87"/>
  <c r="AD15" i="87"/>
  <c r="AD16" i="87"/>
  <c r="AD17" i="87"/>
  <c r="AD18" i="87"/>
  <c r="AD19" i="87"/>
  <c r="AD20" i="87"/>
  <c r="AD21" i="87"/>
  <c r="AD22" i="87"/>
  <c r="AD23" i="87"/>
  <c r="AD24" i="87"/>
  <c r="AD25" i="87"/>
  <c r="AD26" i="87"/>
  <c r="AD27" i="87"/>
  <c r="AD28" i="87"/>
  <c r="AD29" i="87"/>
  <c r="AD30" i="87"/>
  <c r="AD31" i="87"/>
  <c r="AD32" i="87"/>
  <c r="AD33" i="87"/>
  <c r="AD34" i="87"/>
  <c r="AD35" i="87"/>
  <c r="AD36" i="87"/>
  <c r="AD37" i="87"/>
  <c r="AD38" i="87"/>
  <c r="AD39" i="87"/>
  <c r="AD40" i="87"/>
  <c r="AD41" i="87"/>
  <c r="AD42" i="87"/>
  <c r="AD43" i="87"/>
  <c r="AD44" i="87"/>
  <c r="AD51" i="87"/>
  <c r="D55" i="81"/>
  <c r="D56" i="81"/>
  <c r="D57" i="81"/>
  <c r="D58" i="81"/>
  <c r="D55" i="84"/>
  <c r="D56" i="84"/>
  <c r="D57" i="84"/>
  <c r="D58" i="84"/>
  <c r="D55" i="80"/>
  <c r="D56" i="80"/>
  <c r="D57" i="80"/>
  <c r="M15" i="80"/>
  <c r="M16" i="80"/>
  <c r="D58" i="80"/>
  <c r="D55" i="83"/>
  <c r="D56" i="83"/>
  <c r="D57" i="83"/>
  <c r="M25" i="83"/>
  <c r="M26" i="83"/>
  <c r="M27" i="83"/>
  <c r="M28" i="83"/>
  <c r="M14" i="83"/>
  <c r="M15" i="83"/>
  <c r="M16" i="83"/>
  <c r="M17" i="83"/>
  <c r="M18" i="83"/>
  <c r="M19" i="83"/>
  <c r="M20" i="83"/>
  <c r="M21" i="83"/>
  <c r="M22" i="83"/>
  <c r="M23" i="83"/>
  <c r="M24" i="83"/>
  <c r="M29" i="83"/>
  <c r="M30" i="83"/>
  <c r="M31" i="83"/>
  <c r="M32" i="83"/>
  <c r="M33" i="83"/>
  <c r="M34" i="83"/>
  <c r="M35" i="83"/>
  <c r="M36" i="83"/>
  <c r="M37" i="83"/>
  <c r="M38" i="83"/>
  <c r="M39" i="83"/>
  <c r="M40" i="83"/>
  <c r="M41" i="83"/>
  <c r="M42" i="83"/>
  <c r="M43" i="83"/>
  <c r="D58" i="83"/>
  <c r="M14" i="79"/>
  <c r="M15" i="79"/>
  <c r="M16" i="79"/>
  <c r="M17" i="79"/>
  <c r="M18" i="79"/>
  <c r="M19" i="79"/>
  <c r="M20" i="79"/>
  <c r="M21" i="79"/>
  <c r="M22" i="79"/>
  <c r="M23" i="79"/>
  <c r="M24" i="79"/>
  <c r="M25" i="79"/>
  <c r="M26" i="79"/>
  <c r="M27" i="79"/>
  <c r="M28" i="79"/>
  <c r="M29" i="79"/>
  <c r="M30" i="79"/>
  <c r="M31" i="79"/>
  <c r="M32" i="79"/>
  <c r="M33" i="79"/>
  <c r="M34" i="79"/>
  <c r="M35" i="79"/>
  <c r="M36" i="79"/>
  <c r="M37" i="79"/>
  <c r="M38" i="79"/>
  <c r="M39" i="79"/>
  <c r="M40" i="79"/>
  <c r="M41" i="79"/>
  <c r="M42" i="79"/>
  <c r="M43" i="79"/>
  <c r="M44" i="79"/>
  <c r="D55" i="79"/>
  <c r="D56" i="79"/>
  <c r="D57" i="79"/>
  <c r="D58" i="79"/>
  <c r="D55" i="78"/>
  <c r="D56" i="78"/>
  <c r="D57" i="78"/>
  <c r="D58" i="78"/>
  <c r="M15" i="82"/>
  <c r="D55" i="82"/>
  <c r="D56" i="82"/>
  <c r="D57" i="82"/>
  <c r="D58" i="82"/>
  <c r="M44" i="77"/>
  <c r="D55" i="75"/>
  <c r="D56" i="75"/>
  <c r="D57" i="75"/>
  <c r="D58" i="75"/>
  <c r="D55" i="76"/>
  <c r="D56" i="76"/>
  <c r="D57" i="76"/>
  <c r="D58" i="76"/>
  <c r="D55" i="73"/>
  <c r="D56" i="73"/>
  <c r="D57" i="73"/>
  <c r="D58" i="73"/>
  <c r="D55" i="86"/>
  <c r="D56" i="86"/>
  <c r="D57" i="86"/>
  <c r="D58" i="86"/>
  <c r="D55" i="92"/>
  <c r="D55" i="91"/>
  <c r="M13" i="91"/>
  <c r="M14" i="91"/>
  <c r="M15" i="91"/>
  <c r="M16" i="91"/>
  <c r="M17" i="91"/>
  <c r="M18" i="91"/>
  <c r="M19" i="91"/>
  <c r="M20" i="91"/>
  <c r="M21" i="91"/>
  <c r="M23" i="91"/>
  <c r="M24" i="91"/>
  <c r="M25" i="91"/>
  <c r="M26" i="91"/>
  <c r="M27" i="91"/>
  <c r="M28" i="91"/>
  <c r="M29" i="91"/>
  <c r="M30" i="91"/>
  <c r="M31" i="91"/>
  <c r="M32" i="91"/>
  <c r="M33" i="91"/>
  <c r="M34" i="91"/>
  <c r="M35" i="91"/>
  <c r="M36" i="91"/>
  <c r="M37" i="91"/>
  <c r="M38" i="91"/>
  <c r="M39" i="91"/>
  <c r="M40" i="91"/>
  <c r="M42" i="91"/>
  <c r="M41" i="91"/>
  <c r="C13" i="91"/>
  <c r="B13" i="91"/>
  <c r="A13" i="91"/>
  <c r="H81" i="91"/>
  <c r="H82" i="91"/>
  <c r="H83" i="91"/>
  <c r="H84" i="91"/>
  <c r="H105" i="91"/>
  <c r="H108" i="91"/>
  <c r="H109" i="91"/>
  <c r="H110" i="91"/>
  <c r="H111" i="91"/>
  <c r="H79" i="91"/>
  <c r="H80" i="91"/>
  <c r="H87" i="91"/>
  <c r="H88" i="91"/>
  <c r="H89" i="91"/>
  <c r="H90" i="91"/>
  <c r="H91" i="91"/>
  <c r="H92" i="91"/>
  <c r="H93" i="91"/>
  <c r="H94" i="91"/>
  <c r="H95" i="91"/>
  <c r="H96" i="91"/>
  <c r="H97" i="91"/>
  <c r="H98" i="91"/>
  <c r="H99" i="91"/>
  <c r="H100" i="91"/>
  <c r="H101" i="91"/>
  <c r="H102" i="91"/>
  <c r="H103" i="91"/>
  <c r="H106" i="91"/>
  <c r="H107" i="91"/>
  <c r="N50" i="92"/>
  <c r="N6" i="91"/>
  <c r="E54" i="91"/>
  <c r="N6" i="92"/>
  <c r="E54" i="92"/>
  <c r="G125" i="3"/>
  <c r="G124" i="3"/>
  <c r="C127" i="3"/>
  <c r="D127" i="3"/>
  <c r="E127" i="3"/>
  <c r="C126" i="3"/>
  <c r="D126" i="3"/>
  <c r="E126" i="3"/>
  <c r="D125" i="3"/>
  <c r="C124" i="3"/>
  <c r="D124" i="3"/>
  <c r="E124" i="3"/>
  <c r="B127" i="3"/>
  <c r="B126" i="3"/>
  <c r="B125" i="3"/>
  <c r="B124" i="3"/>
  <c r="I123" i="3"/>
  <c r="J123" i="3"/>
  <c r="I122" i="3"/>
  <c r="J122" i="3"/>
  <c r="I121" i="3"/>
  <c r="J121" i="3"/>
  <c r="I120" i="3"/>
  <c r="J120" i="3"/>
  <c r="I119" i="3"/>
  <c r="J119" i="3"/>
  <c r="I118" i="3"/>
  <c r="J118" i="3"/>
  <c r="I117" i="3"/>
  <c r="J117" i="3"/>
  <c r="I116" i="3"/>
  <c r="J116" i="3"/>
  <c r="I115" i="3"/>
  <c r="J115" i="3"/>
  <c r="N50" i="91"/>
  <c r="P56" i="92"/>
  <c r="P54" i="92"/>
  <c r="P52" i="92"/>
  <c r="P56" i="91"/>
  <c r="P54" i="91"/>
  <c r="P52" i="91"/>
  <c r="P56" i="87"/>
  <c r="P54" i="87"/>
  <c r="P52" i="87"/>
  <c r="N6" i="86"/>
  <c r="E54" i="86"/>
  <c r="P18" i="86"/>
  <c r="P22" i="86"/>
  <c r="D54" i="86"/>
  <c r="N6" i="73"/>
  <c r="E54" i="73" s="1"/>
  <c r="D54" i="73"/>
  <c r="N6" i="76"/>
  <c r="E54" i="76"/>
  <c r="D54" i="76"/>
  <c r="N6" i="75"/>
  <c r="E54" i="75"/>
  <c r="P18" i="75"/>
  <c r="P37" i="75"/>
  <c r="P38" i="75"/>
  <c r="D54" i="75"/>
  <c r="N6" i="77"/>
  <c r="E54" i="77"/>
  <c r="D54" i="77"/>
  <c r="N6" i="82"/>
  <c r="E54" i="82"/>
  <c r="M39" i="82"/>
  <c r="P39" i="82"/>
  <c r="D54" i="82"/>
  <c r="N6" i="78"/>
  <c r="E54" i="78"/>
  <c r="P30" i="78"/>
  <c r="P31" i="78"/>
  <c r="P32" i="78"/>
  <c r="P33" i="78"/>
  <c r="P14" i="78"/>
  <c r="P15" i="78"/>
  <c r="P16" i="78"/>
  <c r="P17" i="78"/>
  <c r="P18" i="78"/>
  <c r="P19" i="78"/>
  <c r="P20" i="78"/>
  <c r="P21" i="78"/>
  <c r="P22" i="78"/>
  <c r="P23" i="78"/>
  <c r="P24" i="78"/>
  <c r="P25" i="78"/>
  <c r="P26" i="78"/>
  <c r="P27" i="78"/>
  <c r="P28" i="78"/>
  <c r="P29" i="78"/>
  <c r="P34" i="78"/>
  <c r="P35" i="78"/>
  <c r="P36" i="78"/>
  <c r="P37" i="78"/>
  <c r="P38" i="78"/>
  <c r="P39" i="78"/>
  <c r="P40" i="78"/>
  <c r="P41" i="78"/>
  <c r="P42" i="78"/>
  <c r="P43" i="78"/>
  <c r="P44" i="78"/>
  <c r="D54" i="78"/>
  <c r="N6" i="79"/>
  <c r="E54" i="79"/>
  <c r="D54" i="79"/>
  <c r="N6" i="83"/>
  <c r="E54" i="83"/>
  <c r="D54" i="83"/>
  <c r="N6" i="80"/>
  <c r="E54" i="80"/>
  <c r="D54" i="80"/>
  <c r="N6" i="84"/>
  <c r="E54" i="84"/>
  <c r="D54" i="84"/>
  <c r="N6" i="81"/>
  <c r="E54" i="81"/>
  <c r="P41" i="81"/>
  <c r="P42" i="81"/>
  <c r="D54" i="81"/>
  <c r="N6" i="87"/>
  <c r="E54" i="87"/>
  <c r="D54" i="87"/>
  <c r="Q44" i="91"/>
  <c r="E53" i="91"/>
  <c r="Q47" i="92"/>
  <c r="E53" i="92"/>
  <c r="D53" i="86"/>
  <c r="P68" i="86" s="1"/>
  <c r="D53" i="73"/>
  <c r="D53" i="76"/>
  <c r="D53" i="75"/>
  <c r="D53" i="77"/>
  <c r="P68" i="81" s="1"/>
  <c r="D53" i="82"/>
  <c r="D53" i="78"/>
  <c r="D53" i="79"/>
  <c r="D53" i="83"/>
  <c r="D53" i="80"/>
  <c r="D53" i="84"/>
  <c r="D53" i="81"/>
  <c r="D53" i="87"/>
  <c r="Q47" i="86"/>
  <c r="E53" i="86"/>
  <c r="Q44" i="73"/>
  <c r="E53" i="73"/>
  <c r="Q47" i="76"/>
  <c r="E53" i="76"/>
  <c r="Q46" i="75"/>
  <c r="E53" i="75"/>
  <c r="Q47" i="77"/>
  <c r="E53" i="77"/>
  <c r="Q46" i="82"/>
  <c r="E53" i="82"/>
  <c r="Q47" i="78"/>
  <c r="E53" i="78"/>
  <c r="Q47" i="79"/>
  <c r="E53" i="79"/>
  <c r="Q46" i="83"/>
  <c r="E53" i="83"/>
  <c r="Q47" i="80"/>
  <c r="E53" i="80"/>
  <c r="Q46" i="84"/>
  <c r="E53" i="84"/>
  <c r="Q47" i="81"/>
  <c r="E53" i="81"/>
  <c r="Q47" i="87"/>
  <c r="E53" i="87"/>
  <c r="N42" i="91"/>
  <c r="O42" i="91"/>
  <c r="E52" i="91"/>
  <c r="N45" i="92"/>
  <c r="O45" i="92"/>
  <c r="E52" i="92"/>
  <c r="P15" i="86"/>
  <c r="P16" i="86"/>
  <c r="P17" i="86"/>
  <c r="D52" i="86"/>
  <c r="P61" i="73" s="1"/>
  <c r="D52" i="73"/>
  <c r="P33" i="76"/>
  <c r="P34" i="76"/>
  <c r="P35" i="76"/>
  <c r="P36" i="76"/>
  <c r="P14" i="76"/>
  <c r="P15" i="76"/>
  <c r="P16" i="76"/>
  <c r="P17" i="76"/>
  <c r="P18" i="76"/>
  <c r="P19" i="76"/>
  <c r="P20" i="76"/>
  <c r="P21" i="76"/>
  <c r="P22" i="76"/>
  <c r="P23" i="76"/>
  <c r="P24" i="76"/>
  <c r="P25" i="76"/>
  <c r="P26" i="76"/>
  <c r="P27" i="76"/>
  <c r="P28" i="76"/>
  <c r="P29" i="76"/>
  <c r="P30" i="76"/>
  <c r="P31" i="76"/>
  <c r="P32" i="76"/>
  <c r="P37" i="76"/>
  <c r="P38" i="76"/>
  <c r="P39" i="76"/>
  <c r="P40" i="76"/>
  <c r="P41" i="76"/>
  <c r="P42" i="76"/>
  <c r="P43" i="76"/>
  <c r="P44" i="76"/>
  <c r="D52" i="76"/>
  <c r="D52" i="75"/>
  <c r="D52" i="77"/>
  <c r="D52" i="82"/>
  <c r="D52" i="78"/>
  <c r="D52" i="79"/>
  <c r="D52" i="83"/>
  <c r="P25" i="80"/>
  <c r="P26" i="80"/>
  <c r="P29" i="80"/>
  <c r="P30" i="80"/>
  <c r="P14" i="80"/>
  <c r="P15" i="80"/>
  <c r="P16" i="80"/>
  <c r="P17" i="80"/>
  <c r="P18" i="80"/>
  <c r="P19" i="80"/>
  <c r="P20" i="80"/>
  <c r="P21" i="80"/>
  <c r="P22" i="80"/>
  <c r="P23" i="80"/>
  <c r="P24" i="80"/>
  <c r="P27" i="80"/>
  <c r="P28" i="80"/>
  <c r="P31" i="80"/>
  <c r="P32" i="80"/>
  <c r="P33" i="80"/>
  <c r="P34" i="80"/>
  <c r="P35" i="80"/>
  <c r="P36" i="80"/>
  <c r="P37" i="80"/>
  <c r="P38" i="80"/>
  <c r="P39" i="80"/>
  <c r="P40" i="80"/>
  <c r="P41" i="80"/>
  <c r="P42" i="80"/>
  <c r="P43" i="80"/>
  <c r="P44" i="80"/>
  <c r="D52" i="80"/>
  <c r="P16" i="84"/>
  <c r="D52" i="84"/>
  <c r="D52" i="81"/>
  <c r="P18" i="87"/>
  <c r="P21" i="87"/>
  <c r="P22" i="87"/>
  <c r="P23" i="87"/>
  <c r="P14" i="87"/>
  <c r="P15" i="87"/>
  <c r="P16" i="87"/>
  <c r="P17" i="87"/>
  <c r="P19" i="87"/>
  <c r="P20" i="87"/>
  <c r="P24" i="87"/>
  <c r="P25" i="87"/>
  <c r="P26" i="87"/>
  <c r="P27" i="87"/>
  <c r="P28" i="87"/>
  <c r="P29" i="87"/>
  <c r="P30" i="87"/>
  <c r="P31" i="87"/>
  <c r="P32" i="87"/>
  <c r="P33" i="87"/>
  <c r="P34" i="87"/>
  <c r="P35" i="87"/>
  <c r="P36" i="87"/>
  <c r="P37" i="87"/>
  <c r="P38" i="87"/>
  <c r="P39" i="87"/>
  <c r="P40" i="87"/>
  <c r="P41" i="87"/>
  <c r="P42" i="87"/>
  <c r="P43" i="87"/>
  <c r="P44" i="87"/>
  <c r="D52" i="87"/>
  <c r="N45" i="86"/>
  <c r="O45" i="86"/>
  <c r="E52" i="86"/>
  <c r="N42" i="73"/>
  <c r="O42" i="73"/>
  <c r="E52" i="73"/>
  <c r="N45" i="76"/>
  <c r="O45" i="76"/>
  <c r="E52" i="76"/>
  <c r="N44" i="75"/>
  <c r="O44" i="75"/>
  <c r="E52" i="75"/>
  <c r="N45" i="77"/>
  <c r="O45" i="77"/>
  <c r="E52" i="77"/>
  <c r="N44" i="82"/>
  <c r="O44" i="82"/>
  <c r="E52" i="82"/>
  <c r="N45" i="78"/>
  <c r="O45" i="78"/>
  <c r="E52" i="78"/>
  <c r="N45" i="79"/>
  <c r="O45" i="79"/>
  <c r="E52" i="79"/>
  <c r="N44" i="83"/>
  <c r="O44" i="83"/>
  <c r="E52" i="83"/>
  <c r="N45" i="80"/>
  <c r="O45" i="80"/>
  <c r="E52" i="80"/>
  <c r="N44" i="84"/>
  <c r="O44" i="84"/>
  <c r="E52" i="84"/>
  <c r="N45" i="81"/>
  <c r="O45" i="81"/>
  <c r="E52" i="81"/>
  <c r="N45" i="87"/>
  <c r="O45" i="87"/>
  <c r="E52" i="87"/>
  <c r="P28" i="77"/>
  <c r="P29" i="77"/>
  <c r="P30" i="77"/>
  <c r="P32" i="77"/>
  <c r="P14" i="77"/>
  <c r="P15" i="77"/>
  <c r="P16" i="77"/>
  <c r="P17" i="77"/>
  <c r="P18" i="77"/>
  <c r="P19" i="77"/>
  <c r="P20" i="77"/>
  <c r="P21" i="77"/>
  <c r="P22" i="77"/>
  <c r="P23" i="77"/>
  <c r="P24" i="77"/>
  <c r="P25" i="77"/>
  <c r="P26" i="77"/>
  <c r="P27" i="77"/>
  <c r="P31" i="77"/>
  <c r="P33" i="77"/>
  <c r="P34" i="77"/>
  <c r="P35" i="77"/>
  <c r="P36" i="77"/>
  <c r="P37" i="77"/>
  <c r="P38" i="77"/>
  <c r="P39" i="77"/>
  <c r="P40" i="77"/>
  <c r="P41" i="77"/>
  <c r="P42" i="77"/>
  <c r="P43" i="77"/>
  <c r="P44" i="77"/>
  <c r="P15" i="82"/>
  <c r="P14" i="79"/>
  <c r="P15" i="79"/>
  <c r="P16" i="79"/>
  <c r="P17" i="79"/>
  <c r="P18" i="79"/>
  <c r="P19" i="79"/>
  <c r="P20" i="79"/>
  <c r="P21" i="79"/>
  <c r="P22" i="79"/>
  <c r="P23" i="79"/>
  <c r="P24" i="79"/>
  <c r="P25" i="79"/>
  <c r="P26" i="79"/>
  <c r="P27" i="79"/>
  <c r="P28" i="79"/>
  <c r="P29" i="79"/>
  <c r="P30" i="79"/>
  <c r="P31" i="79"/>
  <c r="P32" i="79"/>
  <c r="P33" i="79"/>
  <c r="P34" i="79"/>
  <c r="P35" i="79"/>
  <c r="P36" i="79"/>
  <c r="P37" i="79"/>
  <c r="P38" i="79"/>
  <c r="P39" i="79"/>
  <c r="P40" i="79"/>
  <c r="P41" i="79"/>
  <c r="P42" i="79"/>
  <c r="P43" i="79"/>
  <c r="P44" i="79"/>
  <c r="N58" i="92"/>
  <c r="N58" i="91"/>
  <c r="M13" i="92"/>
  <c r="M14" i="92"/>
  <c r="M15" i="92"/>
  <c r="M16" i="92"/>
  <c r="M17" i="92"/>
  <c r="M18" i="92"/>
  <c r="M19" i="92"/>
  <c r="M20" i="92"/>
  <c r="M21" i="92"/>
  <c r="M22" i="92"/>
  <c r="M23" i="92"/>
  <c r="M24" i="92"/>
  <c r="M25" i="92"/>
  <c r="M26" i="92"/>
  <c r="M27" i="92"/>
  <c r="M28" i="92"/>
  <c r="M29" i="92"/>
  <c r="M30" i="92"/>
  <c r="M31" i="92"/>
  <c r="M32" i="92"/>
  <c r="M33" i="92"/>
  <c r="M34" i="92"/>
  <c r="M35" i="92"/>
  <c r="M36" i="92"/>
  <c r="M37" i="92"/>
  <c r="M38" i="92"/>
  <c r="M39" i="92"/>
  <c r="M40" i="92"/>
  <c r="M41" i="92"/>
  <c r="M42" i="92"/>
  <c r="M43" i="92"/>
  <c r="L63" i="92"/>
  <c r="L62" i="92"/>
  <c r="B61" i="92"/>
  <c r="AF14" i="92"/>
  <c r="AG14" i="92"/>
  <c r="E114" i="3"/>
  <c r="M44" i="92"/>
  <c r="AH14" i="92"/>
  <c r="AH15" i="92"/>
  <c r="AH16" i="92"/>
  <c r="AH17" i="92"/>
  <c r="AH18" i="92"/>
  <c r="AH19" i="92"/>
  <c r="AH20" i="92"/>
  <c r="AH21" i="92"/>
  <c r="AH22" i="92"/>
  <c r="AH23" i="92"/>
  <c r="AH24" i="92"/>
  <c r="AH25" i="92"/>
  <c r="AH26" i="92"/>
  <c r="AH27" i="92"/>
  <c r="AH28" i="92"/>
  <c r="AH29" i="92"/>
  <c r="AH30" i="92"/>
  <c r="AH31" i="92"/>
  <c r="AH32" i="92"/>
  <c r="AH33" i="92"/>
  <c r="AH34" i="92"/>
  <c r="AH35" i="92"/>
  <c r="AH36" i="92"/>
  <c r="AH37" i="92"/>
  <c r="AH38" i="92"/>
  <c r="AH39" i="92"/>
  <c r="AH40" i="92"/>
  <c r="AH41" i="92"/>
  <c r="AH42" i="92"/>
  <c r="AH43" i="92"/>
  <c r="AH44" i="92"/>
  <c r="AH51" i="92"/>
  <c r="AH52" i="92"/>
  <c r="J45" i="92"/>
  <c r="AC14" i="92"/>
  <c r="AC15" i="92"/>
  <c r="AC16" i="92"/>
  <c r="AC17" i="92"/>
  <c r="AC18" i="92"/>
  <c r="AC19" i="92"/>
  <c r="AC20" i="92"/>
  <c r="AC21" i="92"/>
  <c r="AC22" i="92"/>
  <c r="AC23" i="92"/>
  <c r="AC24" i="92"/>
  <c r="AC25" i="92"/>
  <c r="AC26" i="92"/>
  <c r="AC27" i="92"/>
  <c r="AC28" i="92"/>
  <c r="AC29" i="92"/>
  <c r="AC30" i="92"/>
  <c r="AC31" i="92"/>
  <c r="AC32" i="92"/>
  <c r="AC33" i="92"/>
  <c r="AC34" i="92"/>
  <c r="AC35" i="92"/>
  <c r="AC36" i="92"/>
  <c r="AC37" i="92"/>
  <c r="AC38" i="92"/>
  <c r="AC39" i="92"/>
  <c r="AC40" i="92"/>
  <c r="AC41" i="92"/>
  <c r="AC42" i="92"/>
  <c r="AC43" i="92"/>
  <c r="AC44" i="92"/>
  <c r="AC51" i="92"/>
  <c r="Q48" i="92"/>
  <c r="B48" i="92"/>
  <c r="P14" i="92"/>
  <c r="P15" i="92"/>
  <c r="P16" i="92"/>
  <c r="P17" i="92"/>
  <c r="P18" i="92"/>
  <c r="P19" i="92"/>
  <c r="P20" i="92"/>
  <c r="P21" i="92"/>
  <c r="P22" i="92"/>
  <c r="P23" i="92"/>
  <c r="P24" i="92"/>
  <c r="P25" i="92"/>
  <c r="P26" i="92"/>
  <c r="P27" i="92"/>
  <c r="P28" i="92"/>
  <c r="P29" i="92"/>
  <c r="P30" i="92"/>
  <c r="P31" i="92"/>
  <c r="P32" i="92"/>
  <c r="P33" i="92"/>
  <c r="P34" i="92"/>
  <c r="P35" i="92"/>
  <c r="P36" i="92"/>
  <c r="P37" i="92"/>
  <c r="P38" i="92"/>
  <c r="P39" i="92"/>
  <c r="P43" i="92"/>
  <c r="P44" i="92"/>
  <c r="M45" i="92"/>
  <c r="L45" i="92"/>
  <c r="A45" i="92"/>
  <c r="AE44" i="92"/>
  <c r="Z44" i="92"/>
  <c r="R44" i="92"/>
  <c r="Q44" i="92"/>
  <c r="AE43" i="92"/>
  <c r="Z43" i="92"/>
  <c r="R43" i="92"/>
  <c r="Q43" i="92"/>
  <c r="AE42" i="92"/>
  <c r="Z42" i="92"/>
  <c r="R42" i="92"/>
  <c r="Q42" i="92"/>
  <c r="AE41" i="92"/>
  <c r="Z41" i="92"/>
  <c r="R41" i="92"/>
  <c r="Q41" i="92"/>
  <c r="AE40" i="92"/>
  <c r="Z40" i="92"/>
  <c r="R40" i="92"/>
  <c r="Q40" i="92"/>
  <c r="AE39" i="92"/>
  <c r="Z39" i="92"/>
  <c r="R39" i="92"/>
  <c r="Q39" i="92"/>
  <c r="AE38" i="92"/>
  <c r="Z38" i="92"/>
  <c r="R38" i="92"/>
  <c r="Q38" i="92"/>
  <c r="AE37" i="92"/>
  <c r="Z37" i="92"/>
  <c r="R37" i="92"/>
  <c r="Q37" i="92"/>
  <c r="AE36" i="92"/>
  <c r="Z36" i="92"/>
  <c r="R36" i="92"/>
  <c r="Q36" i="92"/>
  <c r="AE35" i="92"/>
  <c r="Z35" i="92"/>
  <c r="R35" i="92"/>
  <c r="Q35" i="92"/>
  <c r="AE34" i="92"/>
  <c r="Z34" i="92"/>
  <c r="R34" i="92"/>
  <c r="Q34" i="92"/>
  <c r="AE33" i="92"/>
  <c r="Z33" i="92"/>
  <c r="R33" i="92"/>
  <c r="Q33" i="92"/>
  <c r="AE32" i="92"/>
  <c r="Z32" i="92"/>
  <c r="R32" i="92"/>
  <c r="Q32" i="92"/>
  <c r="AE31" i="92"/>
  <c r="Z31" i="92"/>
  <c r="R31" i="92"/>
  <c r="Q31" i="92"/>
  <c r="AE30" i="92"/>
  <c r="Z30" i="92"/>
  <c r="R30" i="92"/>
  <c r="Q30" i="92"/>
  <c r="AE29" i="92"/>
  <c r="Z29" i="92"/>
  <c r="R29" i="92"/>
  <c r="Q29" i="92"/>
  <c r="AE28" i="92"/>
  <c r="Z28" i="92"/>
  <c r="R28" i="92"/>
  <c r="Q28" i="92"/>
  <c r="AE27" i="92"/>
  <c r="Z27" i="92"/>
  <c r="R27" i="92"/>
  <c r="Q27" i="92"/>
  <c r="AE26" i="92"/>
  <c r="Z26" i="92"/>
  <c r="R26" i="92"/>
  <c r="Q26" i="92"/>
  <c r="AE25" i="92"/>
  <c r="Z25" i="92"/>
  <c r="R25" i="92"/>
  <c r="Q25" i="92"/>
  <c r="AE24" i="92"/>
  <c r="Z24" i="92"/>
  <c r="R24" i="92"/>
  <c r="Q24" i="92"/>
  <c r="AE23" i="92"/>
  <c r="Z23" i="92"/>
  <c r="R23" i="92"/>
  <c r="Q23" i="92"/>
  <c r="AE22" i="92"/>
  <c r="Z22" i="92"/>
  <c r="R22" i="92"/>
  <c r="Q22" i="92"/>
  <c r="AE21" i="92"/>
  <c r="Z21" i="92"/>
  <c r="R21" i="92"/>
  <c r="Q21" i="92"/>
  <c r="AE20" i="92"/>
  <c r="Z20" i="92"/>
  <c r="R20" i="92"/>
  <c r="Q20" i="92"/>
  <c r="AE19" i="92"/>
  <c r="Z19" i="92"/>
  <c r="R19" i="92"/>
  <c r="Q19" i="92"/>
  <c r="AE18" i="92"/>
  <c r="Z18" i="92"/>
  <c r="R18" i="92"/>
  <c r="Q18" i="92"/>
  <c r="AE17" i="92"/>
  <c r="Z17" i="92"/>
  <c r="R17" i="92"/>
  <c r="Q17" i="92"/>
  <c r="AE16" i="92"/>
  <c r="Z16" i="92"/>
  <c r="R16" i="92"/>
  <c r="Q16" i="92"/>
  <c r="AE15" i="92"/>
  <c r="Z15" i="92"/>
  <c r="R15" i="92"/>
  <c r="Q15" i="92"/>
  <c r="AE14" i="92"/>
  <c r="Z14" i="92"/>
  <c r="R14" i="92"/>
  <c r="Q14" i="92"/>
  <c r="Z13" i="92"/>
  <c r="N13" i="92"/>
  <c r="C13" i="92"/>
  <c r="B13" i="92"/>
  <c r="A13" i="92"/>
  <c r="F6" i="92"/>
  <c r="B6" i="92"/>
  <c r="L63" i="91"/>
  <c r="L62" i="91"/>
  <c r="B61" i="91"/>
  <c r="AF14" i="91"/>
  <c r="AG14" i="91"/>
  <c r="E113" i="3"/>
  <c r="AH14" i="91"/>
  <c r="AH15" i="91"/>
  <c r="AH16" i="91"/>
  <c r="AH17" i="91"/>
  <c r="AH18" i="91"/>
  <c r="AH19" i="91"/>
  <c r="AH20" i="91"/>
  <c r="AH21" i="91"/>
  <c r="AH22" i="91"/>
  <c r="AH23" i="91"/>
  <c r="AH24" i="91"/>
  <c r="AH25" i="91"/>
  <c r="AH26" i="91"/>
  <c r="AH27" i="91"/>
  <c r="AH28" i="91"/>
  <c r="AH29" i="91"/>
  <c r="AH30" i="91"/>
  <c r="AH31" i="91"/>
  <c r="AH32" i="91"/>
  <c r="AH33" i="91"/>
  <c r="AH34" i="91"/>
  <c r="AH35" i="91"/>
  <c r="AH36" i="91"/>
  <c r="AH37" i="91"/>
  <c r="AH38" i="91"/>
  <c r="AH39" i="91"/>
  <c r="AH40" i="91"/>
  <c r="AH41" i="91"/>
  <c r="J42" i="91"/>
  <c r="Q45" i="91"/>
  <c r="B45" i="91"/>
  <c r="P14" i="91"/>
  <c r="P15" i="91"/>
  <c r="P16" i="91"/>
  <c r="P17" i="91"/>
  <c r="P18" i="91"/>
  <c r="P19" i="91"/>
  <c r="P20" i="91"/>
  <c r="P21" i="91"/>
  <c r="P22" i="91"/>
  <c r="P23" i="91"/>
  <c r="P24" i="91"/>
  <c r="P25" i="91"/>
  <c r="P26" i="91"/>
  <c r="P27" i="91"/>
  <c r="P28" i="91"/>
  <c r="P29" i="91"/>
  <c r="P30" i="91"/>
  <c r="P31" i="91"/>
  <c r="P32" i="91"/>
  <c r="P33" i="91"/>
  <c r="P34" i="91"/>
  <c r="P35" i="91"/>
  <c r="P36" i="91"/>
  <c r="P37" i="91"/>
  <c r="P38" i="91"/>
  <c r="P39" i="91"/>
  <c r="P40" i="91"/>
  <c r="P41" i="91"/>
  <c r="A42" i="91"/>
  <c r="AE41" i="91"/>
  <c r="Z41" i="91"/>
  <c r="R41" i="91"/>
  <c r="Q41" i="91"/>
  <c r="AE40" i="91"/>
  <c r="Z40" i="91"/>
  <c r="R40" i="91"/>
  <c r="Q40" i="91"/>
  <c r="AE39" i="91"/>
  <c r="Z39" i="91"/>
  <c r="R39" i="91"/>
  <c r="Q39" i="91"/>
  <c r="AE38" i="91"/>
  <c r="Z38" i="91"/>
  <c r="R38" i="91"/>
  <c r="Q38" i="91"/>
  <c r="AE37" i="91"/>
  <c r="Z37" i="91"/>
  <c r="R37" i="91"/>
  <c r="Q37" i="91"/>
  <c r="AE36" i="91"/>
  <c r="Z36" i="91"/>
  <c r="R36" i="91"/>
  <c r="Q36" i="91"/>
  <c r="AE35" i="91"/>
  <c r="Z35" i="91"/>
  <c r="R35" i="91"/>
  <c r="Q35" i="91"/>
  <c r="AE34" i="91"/>
  <c r="Z34" i="91"/>
  <c r="R34" i="91"/>
  <c r="Q34" i="91"/>
  <c r="AE33" i="91"/>
  <c r="Z33" i="91"/>
  <c r="R33" i="91"/>
  <c r="Q33" i="91"/>
  <c r="AE32" i="91"/>
  <c r="Z32" i="91"/>
  <c r="R32" i="91"/>
  <c r="Q32" i="91"/>
  <c r="AE31" i="91"/>
  <c r="Z31" i="91"/>
  <c r="R31" i="91"/>
  <c r="Q31" i="91"/>
  <c r="AE30" i="91"/>
  <c r="Z30" i="91"/>
  <c r="R30" i="91"/>
  <c r="Q30" i="91"/>
  <c r="AE29" i="91"/>
  <c r="Z29" i="91"/>
  <c r="R29" i="91"/>
  <c r="Q29" i="91"/>
  <c r="AE28" i="91"/>
  <c r="Z28" i="91"/>
  <c r="R28" i="91"/>
  <c r="Q28" i="91"/>
  <c r="AE27" i="91"/>
  <c r="Z27" i="91"/>
  <c r="R27" i="91"/>
  <c r="Q27" i="91"/>
  <c r="AE26" i="91"/>
  <c r="Z26" i="91"/>
  <c r="R26" i="91"/>
  <c r="Q26" i="91"/>
  <c r="AE25" i="91"/>
  <c r="Z25" i="91"/>
  <c r="R25" i="91"/>
  <c r="Q25" i="91"/>
  <c r="AE24" i="91"/>
  <c r="Z24" i="91"/>
  <c r="R24" i="91"/>
  <c r="Q24" i="91"/>
  <c r="AE23" i="91"/>
  <c r="Z23" i="91"/>
  <c r="R23" i="91"/>
  <c r="Q23" i="91"/>
  <c r="AE22" i="91"/>
  <c r="Z22" i="91"/>
  <c r="R22" i="91"/>
  <c r="Q22" i="91"/>
  <c r="AE21" i="91"/>
  <c r="Z21" i="91"/>
  <c r="R21" i="91"/>
  <c r="Q21" i="91"/>
  <c r="AE20" i="91"/>
  <c r="Z20" i="91"/>
  <c r="R20" i="91"/>
  <c r="Q20" i="91"/>
  <c r="AE19" i="91"/>
  <c r="Z19" i="91"/>
  <c r="R19" i="91"/>
  <c r="Q19" i="91"/>
  <c r="AE18" i="91"/>
  <c r="Z18" i="91"/>
  <c r="R18" i="91"/>
  <c r="Q18" i="91"/>
  <c r="AE17" i="91"/>
  <c r="Z17" i="91"/>
  <c r="R17" i="91"/>
  <c r="Q17" i="91"/>
  <c r="AE16" i="91"/>
  <c r="Z16" i="91"/>
  <c r="R16" i="91"/>
  <c r="Q16" i="91"/>
  <c r="AE15" i="91"/>
  <c r="Z15" i="91"/>
  <c r="R15" i="91"/>
  <c r="Q15" i="91"/>
  <c r="AE14" i="91"/>
  <c r="Z14" i="91"/>
  <c r="R14" i="91"/>
  <c r="Q14" i="91"/>
  <c r="Z13" i="91"/>
  <c r="N13" i="91"/>
  <c r="F6" i="91"/>
  <c r="B6" i="91"/>
  <c r="M14" i="87"/>
  <c r="M15" i="87"/>
  <c r="M16" i="87"/>
  <c r="M17" i="87"/>
  <c r="D55" i="87"/>
  <c r="D56" i="87"/>
  <c r="D57" i="87"/>
  <c r="D58" i="87"/>
  <c r="M18" i="87"/>
  <c r="M19" i="87"/>
  <c r="M20" i="87"/>
  <c r="M21" i="87"/>
  <c r="M22" i="87"/>
  <c r="M23" i="87"/>
  <c r="M24" i="87"/>
  <c r="M25" i="87"/>
  <c r="M26" i="87"/>
  <c r="M27" i="87"/>
  <c r="M28" i="87"/>
  <c r="M29" i="87"/>
  <c r="M30" i="87"/>
  <c r="M31" i="87"/>
  <c r="M32" i="87"/>
  <c r="M33" i="87"/>
  <c r="M34" i="87"/>
  <c r="M35" i="87"/>
  <c r="M36" i="87"/>
  <c r="M37" i="87"/>
  <c r="M38" i="87"/>
  <c r="M39" i="87"/>
  <c r="M40" i="87"/>
  <c r="M41" i="87"/>
  <c r="M42" i="87"/>
  <c r="M43" i="87"/>
  <c r="M45" i="87"/>
  <c r="M44" i="87"/>
  <c r="C13" i="87"/>
  <c r="B13" i="87"/>
  <c r="A13" i="87"/>
  <c r="H78" i="87"/>
  <c r="H81" i="87"/>
  <c r="H82" i="87"/>
  <c r="H83" i="87"/>
  <c r="H84" i="87"/>
  <c r="H79" i="87"/>
  <c r="H80" i="87"/>
  <c r="H87" i="87"/>
  <c r="H88" i="87"/>
  <c r="H89" i="87"/>
  <c r="H90" i="87"/>
  <c r="H91" i="87"/>
  <c r="H92" i="87"/>
  <c r="H93" i="87"/>
  <c r="H94" i="87"/>
  <c r="H95" i="87"/>
  <c r="H96" i="87"/>
  <c r="H97" i="87"/>
  <c r="H98" i="87"/>
  <c r="H99" i="87"/>
  <c r="H100" i="87"/>
  <c r="H101" i="87"/>
  <c r="H102" i="87"/>
  <c r="H103" i="87"/>
  <c r="H105" i="87"/>
  <c r="H106" i="87"/>
  <c r="H107" i="87"/>
  <c r="H108" i="87"/>
  <c r="H109" i="87"/>
  <c r="H110" i="87"/>
  <c r="H111" i="87"/>
  <c r="E112" i="3"/>
  <c r="M13" i="87"/>
  <c r="AG14" i="87"/>
  <c r="AF14" i="87"/>
  <c r="G53" i="87"/>
  <c r="G52" i="87"/>
  <c r="M14" i="81"/>
  <c r="M15" i="81"/>
  <c r="M16" i="81"/>
  <c r="M17" i="81"/>
  <c r="M18" i="81"/>
  <c r="M19" i="81"/>
  <c r="M20" i="81"/>
  <c r="M21" i="81"/>
  <c r="M22" i="81"/>
  <c r="M23" i="81"/>
  <c r="M24" i="81"/>
  <c r="M25" i="81"/>
  <c r="M26" i="81"/>
  <c r="M27" i="81"/>
  <c r="M28" i="81"/>
  <c r="M29" i="81"/>
  <c r="M30" i="81"/>
  <c r="M31" i="81"/>
  <c r="M32" i="81"/>
  <c r="M33" i="81"/>
  <c r="M34" i="81"/>
  <c r="M35" i="81"/>
  <c r="M36" i="81"/>
  <c r="M37" i="81"/>
  <c r="M38" i="81"/>
  <c r="M39" i="81"/>
  <c r="M40" i="81"/>
  <c r="M41" i="81"/>
  <c r="M42" i="81"/>
  <c r="M43" i="81"/>
  <c r="M44" i="81"/>
  <c r="C13" i="81"/>
  <c r="B13" i="81"/>
  <c r="A13" i="81"/>
  <c r="H78" i="81"/>
  <c r="H81" i="81"/>
  <c r="H82" i="81"/>
  <c r="H83" i="81"/>
  <c r="H84" i="81"/>
  <c r="H79" i="81"/>
  <c r="H80" i="81"/>
  <c r="H87" i="81"/>
  <c r="H88" i="81"/>
  <c r="H89" i="81"/>
  <c r="H90" i="81"/>
  <c r="H91" i="81"/>
  <c r="H92" i="81"/>
  <c r="H93" i="81"/>
  <c r="H94" i="81"/>
  <c r="H95" i="81"/>
  <c r="H96" i="81"/>
  <c r="H97" i="81"/>
  <c r="H98" i="81"/>
  <c r="H99" i="81"/>
  <c r="H100" i="81"/>
  <c r="H101" i="81"/>
  <c r="H102" i="81"/>
  <c r="H103" i="81"/>
  <c r="H105" i="81"/>
  <c r="H106" i="81"/>
  <c r="H107" i="81"/>
  <c r="H108" i="81"/>
  <c r="H109" i="81"/>
  <c r="H110" i="81"/>
  <c r="H111" i="81"/>
  <c r="AF15" i="81"/>
  <c r="M13" i="81"/>
  <c r="AG15" i="81"/>
  <c r="AF16" i="81"/>
  <c r="AG16" i="81"/>
  <c r="AF17" i="81"/>
  <c r="AG17" i="81"/>
  <c r="AF18" i="81"/>
  <c r="AG18" i="81"/>
  <c r="AF19" i="81"/>
  <c r="AG19" i="81"/>
  <c r="AF20" i="81"/>
  <c r="AG20" i="81"/>
  <c r="AF21" i="81"/>
  <c r="AG21" i="81"/>
  <c r="AF22" i="81"/>
  <c r="AG22" i="81"/>
  <c r="AF23" i="81"/>
  <c r="AG23" i="81"/>
  <c r="AF24" i="81"/>
  <c r="AG24" i="81"/>
  <c r="AF25" i="81"/>
  <c r="AG25" i="81"/>
  <c r="AF26" i="81"/>
  <c r="AG26" i="81"/>
  <c r="AF27" i="81"/>
  <c r="AG27" i="81"/>
  <c r="AF28" i="81"/>
  <c r="AG28" i="81"/>
  <c r="AF29" i="81"/>
  <c r="AG29" i="81"/>
  <c r="AF30" i="81"/>
  <c r="AG30" i="81"/>
  <c r="AF31" i="81"/>
  <c r="AG31" i="81"/>
  <c r="AF32" i="81"/>
  <c r="AG32" i="81"/>
  <c r="AF33" i="81"/>
  <c r="AG33" i="81"/>
  <c r="AF34" i="81"/>
  <c r="AG34" i="81"/>
  <c r="AF35" i="81"/>
  <c r="AG35" i="81"/>
  <c r="AF36" i="81"/>
  <c r="AG36" i="81"/>
  <c r="AF37" i="81"/>
  <c r="AG37" i="81"/>
  <c r="AF38" i="81"/>
  <c r="AG38" i="81"/>
  <c r="AF39" i="81"/>
  <c r="AG39" i="81"/>
  <c r="AF40" i="81"/>
  <c r="AG40" i="81"/>
  <c r="AF41" i="81"/>
  <c r="AG41" i="81"/>
  <c r="AF42" i="81"/>
  <c r="AG42" i="81"/>
  <c r="AF43" i="81"/>
  <c r="AG43" i="81"/>
  <c r="AF44" i="81"/>
  <c r="AG44" i="81"/>
  <c r="AG14" i="81"/>
  <c r="AF14" i="81"/>
  <c r="G53" i="81"/>
  <c r="G52" i="81"/>
  <c r="M14" i="84"/>
  <c r="M15" i="84"/>
  <c r="M16" i="84"/>
  <c r="M17" i="84"/>
  <c r="M18" i="84"/>
  <c r="M19" i="84"/>
  <c r="M20" i="84"/>
  <c r="M21" i="84"/>
  <c r="M22" i="84"/>
  <c r="M23" i="84"/>
  <c r="M24" i="84"/>
  <c r="M25" i="84"/>
  <c r="M26" i="84"/>
  <c r="M27" i="84"/>
  <c r="M28" i="84"/>
  <c r="M29" i="84"/>
  <c r="M30" i="84"/>
  <c r="M31" i="84"/>
  <c r="M32" i="84"/>
  <c r="M33" i="84"/>
  <c r="M34" i="84"/>
  <c r="M35" i="84"/>
  <c r="M36" i="84"/>
  <c r="M37" i="84"/>
  <c r="M38" i="84"/>
  <c r="M39" i="84"/>
  <c r="M40" i="84"/>
  <c r="M41" i="84"/>
  <c r="M42" i="84"/>
  <c r="M44" i="84"/>
  <c r="M43" i="84"/>
  <c r="C13" i="84"/>
  <c r="B13" i="84"/>
  <c r="A13" i="84"/>
  <c r="H78" i="84"/>
  <c r="H81" i="84"/>
  <c r="H82" i="84"/>
  <c r="H83" i="84"/>
  <c r="H84" i="84"/>
  <c r="H79" i="84"/>
  <c r="H80" i="84"/>
  <c r="H87" i="84"/>
  <c r="H88" i="84"/>
  <c r="H89" i="84"/>
  <c r="H90" i="84"/>
  <c r="H91" i="84"/>
  <c r="H92" i="84"/>
  <c r="H93" i="84"/>
  <c r="H94" i="84"/>
  <c r="H95" i="84"/>
  <c r="H96" i="84"/>
  <c r="H97" i="84"/>
  <c r="H98" i="84"/>
  <c r="H99" i="84"/>
  <c r="H100" i="84"/>
  <c r="H101" i="84"/>
  <c r="H102" i="84"/>
  <c r="H103" i="84"/>
  <c r="H105" i="84"/>
  <c r="H106" i="84"/>
  <c r="H107" i="84"/>
  <c r="H108" i="84"/>
  <c r="H109" i="84"/>
  <c r="H110" i="84"/>
  <c r="H111" i="84"/>
  <c r="AF15" i="84"/>
  <c r="AG15" i="84"/>
  <c r="AF16" i="84"/>
  <c r="AG16" i="84"/>
  <c r="AF17" i="84"/>
  <c r="AG17" i="84"/>
  <c r="AF18" i="84"/>
  <c r="AG18" i="84"/>
  <c r="AF19" i="84"/>
  <c r="AG19" i="84"/>
  <c r="AF20" i="84"/>
  <c r="AG20" i="84"/>
  <c r="AF21" i="84"/>
  <c r="AG21" i="84"/>
  <c r="AF22" i="84"/>
  <c r="AG22" i="84"/>
  <c r="M13" i="84"/>
  <c r="AF23" i="84"/>
  <c r="AG23" i="84"/>
  <c r="AF24" i="84"/>
  <c r="AG24" i="84"/>
  <c r="AF25" i="84"/>
  <c r="AG25" i="84"/>
  <c r="AF26" i="84"/>
  <c r="AG26" i="84"/>
  <c r="AF27" i="84"/>
  <c r="AG27" i="84"/>
  <c r="AF28" i="84"/>
  <c r="AG28" i="84"/>
  <c r="AF29" i="84"/>
  <c r="AG29" i="84"/>
  <c r="AF30" i="84"/>
  <c r="AG30" i="84"/>
  <c r="AF31" i="84"/>
  <c r="AG31" i="84"/>
  <c r="AF32" i="84"/>
  <c r="AG32" i="84"/>
  <c r="AF33" i="84"/>
  <c r="AG33" i="84"/>
  <c r="AF34" i="84"/>
  <c r="AG34" i="84"/>
  <c r="AF35" i="84"/>
  <c r="AG35" i="84"/>
  <c r="AF36" i="84"/>
  <c r="AG36" i="84"/>
  <c r="AF37" i="84"/>
  <c r="AG37" i="84"/>
  <c r="AF38" i="84"/>
  <c r="AG38" i="84"/>
  <c r="AF39" i="84"/>
  <c r="AG39" i="84"/>
  <c r="AF40" i="84"/>
  <c r="AG40" i="84"/>
  <c r="AF41" i="84"/>
  <c r="AG41" i="84"/>
  <c r="AF42" i="84"/>
  <c r="AG42" i="84"/>
  <c r="AF43" i="84"/>
  <c r="AG43" i="84"/>
  <c r="AG14" i="84"/>
  <c r="AF14" i="84"/>
  <c r="G52" i="84"/>
  <c r="M14" i="80"/>
  <c r="M17" i="80"/>
  <c r="M18" i="80"/>
  <c r="M19" i="80"/>
  <c r="M20" i="80"/>
  <c r="M21" i="80"/>
  <c r="M22" i="80"/>
  <c r="M23" i="80"/>
  <c r="M24" i="80"/>
  <c r="M25" i="80"/>
  <c r="M26" i="80"/>
  <c r="M27" i="80"/>
  <c r="M28" i="80"/>
  <c r="M29" i="80"/>
  <c r="M30" i="80"/>
  <c r="M31" i="80"/>
  <c r="M32" i="80"/>
  <c r="M33" i="80"/>
  <c r="M34" i="80"/>
  <c r="M35" i="80"/>
  <c r="M36" i="80"/>
  <c r="M37" i="80"/>
  <c r="M38" i="80"/>
  <c r="M39" i="80"/>
  <c r="M40" i="80"/>
  <c r="M41" i="80"/>
  <c r="M42" i="80"/>
  <c r="M43" i="80"/>
  <c r="M44" i="80"/>
  <c r="C13" i="80"/>
  <c r="B13" i="80"/>
  <c r="A13" i="80"/>
  <c r="H78" i="80"/>
  <c r="H81" i="80"/>
  <c r="H82" i="80"/>
  <c r="H83" i="80"/>
  <c r="H84" i="80"/>
  <c r="H79" i="80"/>
  <c r="H80" i="80"/>
  <c r="H87" i="80"/>
  <c r="H88" i="80"/>
  <c r="H89" i="80"/>
  <c r="H90" i="80"/>
  <c r="H91" i="80"/>
  <c r="H92" i="80"/>
  <c r="H93" i="80"/>
  <c r="H94" i="80"/>
  <c r="H95" i="80"/>
  <c r="H96" i="80"/>
  <c r="H97" i="80"/>
  <c r="H98" i="80"/>
  <c r="H99" i="80"/>
  <c r="H100" i="80"/>
  <c r="H101" i="80"/>
  <c r="H102" i="80"/>
  <c r="H103" i="80"/>
  <c r="H105" i="80"/>
  <c r="H106" i="80"/>
  <c r="H107" i="80"/>
  <c r="H108" i="80"/>
  <c r="H109" i="80"/>
  <c r="H110" i="80"/>
  <c r="H111" i="80"/>
  <c r="AF15" i="80"/>
  <c r="AG15" i="80"/>
  <c r="AF16" i="80"/>
  <c r="AG16" i="80"/>
  <c r="AF17" i="80"/>
  <c r="AG17" i="80"/>
  <c r="AF18" i="80"/>
  <c r="AG18" i="80"/>
  <c r="AF19" i="80"/>
  <c r="AG19" i="80"/>
  <c r="AF20" i="80"/>
  <c r="AG20" i="80"/>
  <c r="AF21" i="80"/>
  <c r="AG21" i="80"/>
  <c r="AF22" i="80"/>
  <c r="AG22" i="80"/>
  <c r="AF23" i="80"/>
  <c r="AG23" i="80"/>
  <c r="AF24" i="80"/>
  <c r="AG24" i="80"/>
  <c r="AF25" i="80"/>
  <c r="AG25" i="80"/>
  <c r="AF26" i="80"/>
  <c r="AG26" i="80"/>
  <c r="AF27" i="80"/>
  <c r="AG27" i="80"/>
  <c r="AF28" i="80"/>
  <c r="AG28" i="80"/>
  <c r="AF29" i="80"/>
  <c r="AG29" i="80"/>
  <c r="AF30" i="80"/>
  <c r="AG30" i="80"/>
  <c r="AF31" i="80"/>
  <c r="AG31" i="80"/>
  <c r="AF32" i="80"/>
  <c r="AG32" i="80"/>
  <c r="AF33" i="80"/>
  <c r="AG33" i="80"/>
  <c r="AF34" i="80"/>
  <c r="AG34" i="80"/>
  <c r="AF35" i="80"/>
  <c r="AG35" i="80"/>
  <c r="AF36" i="80"/>
  <c r="AG36" i="80"/>
  <c r="AF37" i="80"/>
  <c r="AG37" i="80"/>
  <c r="AF38" i="80"/>
  <c r="AG38" i="80"/>
  <c r="AF39" i="80"/>
  <c r="AG39" i="80"/>
  <c r="AF40" i="80"/>
  <c r="AG40" i="80"/>
  <c r="AF41" i="80"/>
  <c r="AG41" i="80"/>
  <c r="AF42" i="80"/>
  <c r="AG42" i="80"/>
  <c r="AF43" i="80"/>
  <c r="AG43" i="80"/>
  <c r="AF44" i="80"/>
  <c r="AG44" i="80"/>
  <c r="AG14" i="80"/>
  <c r="AF14" i="80"/>
  <c r="G53" i="80"/>
  <c r="G52" i="80"/>
  <c r="C13" i="83"/>
  <c r="B13" i="83"/>
  <c r="A13" i="83"/>
  <c r="H78" i="83"/>
  <c r="H81" i="83"/>
  <c r="H82" i="83"/>
  <c r="H83" i="83"/>
  <c r="H84" i="83"/>
  <c r="H79" i="83"/>
  <c r="H80" i="83"/>
  <c r="H87" i="83"/>
  <c r="H88" i="83"/>
  <c r="H89" i="83"/>
  <c r="H90" i="83"/>
  <c r="H91" i="83"/>
  <c r="H92" i="83"/>
  <c r="H93" i="83"/>
  <c r="H94" i="83"/>
  <c r="H95" i="83"/>
  <c r="H96" i="83"/>
  <c r="H97" i="83"/>
  <c r="H98" i="83"/>
  <c r="H99" i="83"/>
  <c r="H100" i="83"/>
  <c r="H101" i="83"/>
  <c r="H102" i="83"/>
  <c r="H103" i="83"/>
  <c r="H105" i="83"/>
  <c r="H106" i="83"/>
  <c r="H107" i="83"/>
  <c r="H108" i="83"/>
  <c r="H109" i="83"/>
  <c r="H110" i="83"/>
  <c r="H111" i="83"/>
  <c r="AF15" i="83"/>
  <c r="AG15" i="83"/>
  <c r="AF16" i="83"/>
  <c r="AG16" i="83"/>
  <c r="M13" i="83"/>
  <c r="AF17" i="83"/>
  <c r="AG17" i="83"/>
  <c r="AF18" i="83"/>
  <c r="AG18" i="83"/>
  <c r="AF19" i="83"/>
  <c r="AG19" i="83"/>
  <c r="AF20" i="83"/>
  <c r="AG20" i="83"/>
  <c r="AF21" i="83"/>
  <c r="AG21" i="83"/>
  <c r="AF22" i="83"/>
  <c r="AG22" i="83"/>
  <c r="AF23" i="83"/>
  <c r="AG23" i="83"/>
  <c r="AF24" i="83"/>
  <c r="AG24" i="83"/>
  <c r="AF25" i="83"/>
  <c r="AG25" i="83"/>
  <c r="AF26" i="83"/>
  <c r="AG26" i="83"/>
  <c r="AF27" i="83"/>
  <c r="AG27" i="83"/>
  <c r="AF28" i="83"/>
  <c r="AG28" i="83"/>
  <c r="AF29" i="83"/>
  <c r="AG29" i="83"/>
  <c r="AF30" i="83"/>
  <c r="AG30" i="83"/>
  <c r="AF31" i="83"/>
  <c r="AG31" i="83"/>
  <c r="AF32" i="83"/>
  <c r="AG32" i="83"/>
  <c r="AF33" i="83"/>
  <c r="AG33" i="83"/>
  <c r="AF34" i="83"/>
  <c r="AG34" i="83"/>
  <c r="AF35" i="83"/>
  <c r="AG35" i="83"/>
  <c r="AF36" i="83"/>
  <c r="AG36" i="83"/>
  <c r="AF37" i="83"/>
  <c r="AG37" i="83"/>
  <c r="AF38" i="83"/>
  <c r="AG38" i="83"/>
  <c r="AF39" i="83"/>
  <c r="AG39" i="83"/>
  <c r="AF40" i="83"/>
  <c r="AG40" i="83"/>
  <c r="AF41" i="83"/>
  <c r="AG41" i="83"/>
  <c r="AF42" i="83"/>
  <c r="AG42" i="83"/>
  <c r="AF43" i="83"/>
  <c r="AG43" i="83"/>
  <c r="AG14" i="83"/>
  <c r="AF14" i="83"/>
  <c r="G53" i="83"/>
  <c r="G52" i="83"/>
  <c r="C13" i="79"/>
  <c r="B13" i="79"/>
  <c r="A13" i="79"/>
  <c r="H78" i="79"/>
  <c r="H81" i="79"/>
  <c r="H82" i="79"/>
  <c r="H83" i="79"/>
  <c r="H84" i="79"/>
  <c r="H79" i="79"/>
  <c r="H80" i="79"/>
  <c r="H87" i="79"/>
  <c r="H88" i="79"/>
  <c r="H89" i="79"/>
  <c r="H90" i="79"/>
  <c r="H91" i="79"/>
  <c r="H92" i="79"/>
  <c r="H93" i="79"/>
  <c r="H94" i="79"/>
  <c r="H95" i="79"/>
  <c r="H96" i="79"/>
  <c r="H97" i="79"/>
  <c r="H98" i="79"/>
  <c r="H99" i="79"/>
  <c r="H100" i="79"/>
  <c r="H101" i="79"/>
  <c r="H102" i="79"/>
  <c r="H103" i="79"/>
  <c r="H105" i="79"/>
  <c r="H106" i="79"/>
  <c r="H107" i="79"/>
  <c r="H108" i="79"/>
  <c r="H109" i="79"/>
  <c r="H110" i="79"/>
  <c r="H111" i="79"/>
  <c r="AF15" i="79"/>
  <c r="AG15" i="79"/>
  <c r="AF16" i="79"/>
  <c r="AG16" i="79"/>
  <c r="AF17" i="79"/>
  <c r="AG17" i="79"/>
  <c r="AF18" i="79"/>
  <c r="AG18" i="79"/>
  <c r="AF19" i="79"/>
  <c r="AG19" i="79"/>
  <c r="AF20" i="79"/>
  <c r="AG20" i="79"/>
  <c r="AF21" i="79"/>
  <c r="AG21" i="79"/>
  <c r="AF22" i="79"/>
  <c r="AG22" i="79"/>
  <c r="AF23" i="79"/>
  <c r="AG23" i="79"/>
  <c r="AF24" i="79"/>
  <c r="AG24" i="79"/>
  <c r="AF25" i="79"/>
  <c r="AG25" i="79"/>
  <c r="AF26" i="79"/>
  <c r="AG26" i="79"/>
  <c r="AF27" i="79"/>
  <c r="AG27" i="79"/>
  <c r="AF28" i="79"/>
  <c r="AG28" i="79"/>
  <c r="M13" i="79"/>
  <c r="AF29" i="79"/>
  <c r="AG29" i="79"/>
  <c r="AF30" i="79"/>
  <c r="AG30" i="79"/>
  <c r="AF31" i="79"/>
  <c r="AG31" i="79"/>
  <c r="AF32" i="79"/>
  <c r="AG32" i="79"/>
  <c r="AF33" i="79"/>
  <c r="AG33" i="79"/>
  <c r="AF34" i="79"/>
  <c r="AG34" i="79"/>
  <c r="AF35" i="79"/>
  <c r="AG35" i="79"/>
  <c r="AF36" i="79"/>
  <c r="AG36" i="79"/>
  <c r="AF37" i="79"/>
  <c r="AG37" i="79"/>
  <c r="AF38" i="79"/>
  <c r="AG38" i="79"/>
  <c r="AF39" i="79"/>
  <c r="AG39" i="79"/>
  <c r="AF40" i="79"/>
  <c r="AG40" i="79"/>
  <c r="AF41" i="79"/>
  <c r="AG41" i="79"/>
  <c r="AF42" i="79"/>
  <c r="AG42" i="79"/>
  <c r="AF43" i="79"/>
  <c r="AG43" i="79"/>
  <c r="AF44" i="79"/>
  <c r="AG44" i="79"/>
  <c r="AG14" i="79"/>
  <c r="AF14" i="79"/>
  <c r="G53" i="79"/>
  <c r="G52" i="79"/>
  <c r="M14" i="78"/>
  <c r="M15" i="78"/>
  <c r="M16" i="78"/>
  <c r="M17" i="78"/>
  <c r="M18" i="78"/>
  <c r="M19" i="78"/>
  <c r="M20" i="78"/>
  <c r="M21" i="78"/>
  <c r="M22" i="78"/>
  <c r="M23" i="78"/>
  <c r="M24" i="78"/>
  <c r="M25" i="78"/>
  <c r="M26" i="78"/>
  <c r="M27" i="78"/>
  <c r="M28" i="78"/>
  <c r="M29" i="78"/>
  <c r="M30" i="78"/>
  <c r="M31" i="78"/>
  <c r="M32" i="78"/>
  <c r="M33" i="78"/>
  <c r="M34" i="78"/>
  <c r="M35" i="78"/>
  <c r="M36" i="78"/>
  <c r="M37" i="78"/>
  <c r="M38" i="78"/>
  <c r="M39" i="78"/>
  <c r="M40" i="78"/>
  <c r="M41" i="78"/>
  <c r="M42" i="78"/>
  <c r="M43" i="78"/>
  <c r="M44" i="78"/>
  <c r="C13" i="78"/>
  <c r="B13" i="78"/>
  <c r="A13" i="78"/>
  <c r="H78" i="78"/>
  <c r="H81" i="78"/>
  <c r="H82" i="78"/>
  <c r="H83" i="78"/>
  <c r="H84" i="78"/>
  <c r="H79" i="78"/>
  <c r="H80" i="78"/>
  <c r="H87" i="78"/>
  <c r="H88" i="78"/>
  <c r="H89" i="78"/>
  <c r="H90" i="78"/>
  <c r="H91" i="78"/>
  <c r="H92" i="78"/>
  <c r="H93" i="78"/>
  <c r="H94" i="78"/>
  <c r="H95" i="78"/>
  <c r="H96" i="78"/>
  <c r="H97" i="78"/>
  <c r="H98" i="78"/>
  <c r="H99" i="78"/>
  <c r="H100" i="78"/>
  <c r="H101" i="78"/>
  <c r="H102" i="78"/>
  <c r="H103" i="78"/>
  <c r="H105" i="78"/>
  <c r="H106" i="78"/>
  <c r="H107" i="78"/>
  <c r="H108" i="78"/>
  <c r="H109" i="78"/>
  <c r="H110" i="78"/>
  <c r="H111" i="78"/>
  <c r="AF15" i="78"/>
  <c r="AG15" i="78"/>
  <c r="AF16" i="78"/>
  <c r="AG16" i="78"/>
  <c r="AF17" i="78"/>
  <c r="AG17" i="78"/>
  <c r="M13" i="78"/>
  <c r="AF18" i="78"/>
  <c r="AG18" i="78"/>
  <c r="AF19" i="78"/>
  <c r="AG19" i="78"/>
  <c r="AF20" i="78"/>
  <c r="AG20" i="78"/>
  <c r="AF21" i="78"/>
  <c r="AG21" i="78"/>
  <c r="AF22" i="78"/>
  <c r="AG22" i="78"/>
  <c r="AF23" i="78"/>
  <c r="AG23" i="78"/>
  <c r="AF24" i="78"/>
  <c r="AG24" i="78"/>
  <c r="AF25" i="78"/>
  <c r="AG25" i="78"/>
  <c r="AF26" i="78"/>
  <c r="AG26" i="78"/>
  <c r="AF27" i="78"/>
  <c r="AG27" i="78"/>
  <c r="AF28" i="78"/>
  <c r="AG28" i="78"/>
  <c r="AF29" i="78"/>
  <c r="AG29" i="78"/>
  <c r="AF30" i="78"/>
  <c r="AG30" i="78"/>
  <c r="AF31" i="78"/>
  <c r="AG31" i="78"/>
  <c r="AF32" i="78"/>
  <c r="AG32" i="78"/>
  <c r="AF33" i="78"/>
  <c r="AG33" i="78"/>
  <c r="AF34" i="78"/>
  <c r="AG34" i="78"/>
  <c r="AF35" i="78"/>
  <c r="AG35" i="78"/>
  <c r="AF36" i="78"/>
  <c r="AG36" i="78"/>
  <c r="AF37" i="78"/>
  <c r="AG37" i="78"/>
  <c r="AF38" i="78"/>
  <c r="AG38" i="78"/>
  <c r="AF39" i="78"/>
  <c r="AG39" i="78"/>
  <c r="AF40" i="78"/>
  <c r="AG40" i="78"/>
  <c r="AF41" i="78"/>
  <c r="AG41" i="78"/>
  <c r="AF42" i="78"/>
  <c r="AG42" i="78"/>
  <c r="AF43" i="78"/>
  <c r="AG43" i="78"/>
  <c r="AF44" i="78"/>
  <c r="AG44" i="78"/>
  <c r="AG14" i="78"/>
  <c r="AF14" i="78"/>
  <c r="G53" i="78"/>
  <c r="G52" i="78"/>
  <c r="M14" i="82"/>
  <c r="M16" i="82"/>
  <c r="M17" i="82"/>
  <c r="M18" i="82"/>
  <c r="M19" i="82"/>
  <c r="M20" i="82"/>
  <c r="M21" i="82"/>
  <c r="M22" i="82"/>
  <c r="M23" i="82"/>
  <c r="M24" i="82"/>
  <c r="M25" i="82"/>
  <c r="M26" i="82"/>
  <c r="M27" i="82"/>
  <c r="M28" i="82"/>
  <c r="M29" i="82"/>
  <c r="M30" i="82"/>
  <c r="M31" i="82"/>
  <c r="M32" i="82"/>
  <c r="M33" i="82"/>
  <c r="M34" i="82"/>
  <c r="M35" i="82"/>
  <c r="M36" i="82"/>
  <c r="M37" i="82"/>
  <c r="M38" i="82"/>
  <c r="M40" i="82"/>
  <c r="M41" i="82"/>
  <c r="M42" i="82"/>
  <c r="M44" i="82"/>
  <c r="M43" i="82"/>
  <c r="C13" i="82"/>
  <c r="B13" i="82"/>
  <c r="A13" i="82"/>
  <c r="H78" i="82"/>
  <c r="H81" i="82"/>
  <c r="H82" i="82"/>
  <c r="H83" i="82"/>
  <c r="H84" i="82"/>
  <c r="H79" i="82"/>
  <c r="H80" i="82"/>
  <c r="H87" i="82"/>
  <c r="H88" i="82"/>
  <c r="H89" i="82"/>
  <c r="H90" i="82"/>
  <c r="H91" i="82"/>
  <c r="H92" i="82"/>
  <c r="H93" i="82"/>
  <c r="H94" i="82"/>
  <c r="H95" i="82"/>
  <c r="H96" i="82"/>
  <c r="H97" i="82"/>
  <c r="H98" i="82"/>
  <c r="H99" i="82"/>
  <c r="H100" i="82"/>
  <c r="H101" i="82"/>
  <c r="H102" i="82"/>
  <c r="H103" i="82"/>
  <c r="H105" i="82"/>
  <c r="H106" i="82"/>
  <c r="H107" i="82"/>
  <c r="H108" i="82"/>
  <c r="H109" i="82"/>
  <c r="H110" i="82"/>
  <c r="H111" i="82"/>
  <c r="AF15" i="82"/>
  <c r="AG15" i="82"/>
  <c r="AF16" i="82"/>
  <c r="AG16" i="82"/>
  <c r="AF17" i="82"/>
  <c r="AG17" i="82"/>
  <c r="AF18" i="82"/>
  <c r="AG18" i="82"/>
  <c r="AF19" i="82"/>
  <c r="AG19" i="82"/>
  <c r="AF20" i="82"/>
  <c r="AG20" i="82"/>
  <c r="AF21" i="82"/>
  <c r="AG21" i="82"/>
  <c r="M13" i="82"/>
  <c r="AF22" i="82"/>
  <c r="AG22" i="82"/>
  <c r="AF23" i="82"/>
  <c r="AG23" i="82"/>
  <c r="AF24" i="82"/>
  <c r="AG24" i="82"/>
  <c r="AF25" i="82"/>
  <c r="AG25" i="82"/>
  <c r="AF26" i="82"/>
  <c r="AG26" i="82"/>
  <c r="AF27" i="82"/>
  <c r="AG27" i="82"/>
  <c r="AF28" i="82"/>
  <c r="AG28" i="82"/>
  <c r="AF29" i="82"/>
  <c r="AG29" i="82"/>
  <c r="AF30" i="82"/>
  <c r="AG30" i="82"/>
  <c r="AF31" i="82"/>
  <c r="AG31" i="82"/>
  <c r="AF32" i="82"/>
  <c r="AG32" i="82"/>
  <c r="AF33" i="82"/>
  <c r="AG33" i="82"/>
  <c r="AF34" i="82"/>
  <c r="AG34" i="82"/>
  <c r="AF35" i="82"/>
  <c r="AG35" i="82"/>
  <c r="AF36" i="82"/>
  <c r="AG36" i="82"/>
  <c r="AF37" i="82"/>
  <c r="AG37" i="82"/>
  <c r="AF38" i="82"/>
  <c r="AG38" i="82"/>
  <c r="AF39" i="82"/>
  <c r="AG39" i="82"/>
  <c r="AF40" i="82"/>
  <c r="AG40" i="82"/>
  <c r="AF41" i="82"/>
  <c r="AG41" i="82"/>
  <c r="AF42" i="82"/>
  <c r="AG42" i="82"/>
  <c r="AF43" i="82"/>
  <c r="AG43" i="82"/>
  <c r="AG14" i="82"/>
  <c r="AF14" i="82"/>
  <c r="C13" i="77"/>
  <c r="B13" i="77"/>
  <c r="A13" i="77"/>
  <c r="H78" i="77"/>
  <c r="H81" i="77"/>
  <c r="H82" i="77"/>
  <c r="H83" i="77"/>
  <c r="H84" i="77"/>
  <c r="H79" i="77"/>
  <c r="H80" i="77"/>
  <c r="H87" i="77"/>
  <c r="H88" i="77"/>
  <c r="H89" i="77"/>
  <c r="H90" i="77"/>
  <c r="H91" i="77"/>
  <c r="H92" i="77"/>
  <c r="H93" i="77"/>
  <c r="H94" i="77"/>
  <c r="H95" i="77"/>
  <c r="H96" i="77"/>
  <c r="H97" i="77"/>
  <c r="H98" i="77"/>
  <c r="H99" i="77"/>
  <c r="H100" i="77"/>
  <c r="H101" i="77"/>
  <c r="H102" i="77"/>
  <c r="H103" i="77"/>
  <c r="H105" i="77"/>
  <c r="H106" i="77"/>
  <c r="H107" i="77"/>
  <c r="H108" i="77"/>
  <c r="H109" i="77"/>
  <c r="H110" i="77"/>
  <c r="H111" i="77"/>
  <c r="M13" i="77"/>
  <c r="AF15" i="77"/>
  <c r="AG15" i="77"/>
  <c r="AF16" i="77"/>
  <c r="AG16" i="77"/>
  <c r="AF17" i="77"/>
  <c r="AG17" i="77"/>
  <c r="AF18" i="77"/>
  <c r="AG18" i="77"/>
  <c r="AF19" i="77"/>
  <c r="AG19" i="77"/>
  <c r="AF20" i="77"/>
  <c r="AG20" i="77"/>
  <c r="AF21" i="77"/>
  <c r="AG21" i="77"/>
  <c r="AF22" i="77"/>
  <c r="AG22" i="77"/>
  <c r="AF23" i="77"/>
  <c r="AG23" i="77"/>
  <c r="AF24" i="77"/>
  <c r="AG24" i="77"/>
  <c r="AF25" i="77"/>
  <c r="AG25" i="77"/>
  <c r="AF26" i="77"/>
  <c r="AG26" i="77"/>
  <c r="AF27" i="77"/>
  <c r="AG27" i="77"/>
  <c r="AF28" i="77"/>
  <c r="AG28" i="77"/>
  <c r="AF29" i="77"/>
  <c r="AG29" i="77"/>
  <c r="AF30" i="77"/>
  <c r="AG30" i="77"/>
  <c r="AF31" i="77"/>
  <c r="AG31" i="77"/>
  <c r="AF32" i="77"/>
  <c r="AG32" i="77"/>
  <c r="AF33" i="77"/>
  <c r="AG33" i="77"/>
  <c r="AF34" i="77"/>
  <c r="AG34" i="77"/>
  <c r="AF35" i="77"/>
  <c r="AG35" i="77"/>
  <c r="AF36" i="77"/>
  <c r="AG36" i="77"/>
  <c r="AF37" i="77"/>
  <c r="AG37" i="77"/>
  <c r="AF38" i="77"/>
  <c r="AG38" i="77"/>
  <c r="AF39" i="77"/>
  <c r="AG39" i="77"/>
  <c r="AF40" i="77"/>
  <c r="AG40" i="77"/>
  <c r="AF41" i="77"/>
  <c r="AG41" i="77"/>
  <c r="AF42" i="77"/>
  <c r="AG42" i="77"/>
  <c r="AF43" i="77"/>
  <c r="AG43" i="77"/>
  <c r="AF44" i="77"/>
  <c r="AG44" i="77"/>
  <c r="AG14" i="77"/>
  <c r="AF14" i="77"/>
  <c r="C13" i="75"/>
  <c r="B13" i="75"/>
  <c r="A13" i="75"/>
  <c r="H78" i="75"/>
  <c r="H81" i="75"/>
  <c r="H82" i="75"/>
  <c r="H83" i="75"/>
  <c r="H84" i="75"/>
  <c r="H79" i="75"/>
  <c r="H80" i="75"/>
  <c r="H87" i="75"/>
  <c r="H88" i="75"/>
  <c r="H89" i="75"/>
  <c r="H90" i="75"/>
  <c r="H91" i="75"/>
  <c r="H92" i="75"/>
  <c r="H93" i="75"/>
  <c r="H94" i="75"/>
  <c r="H95" i="75"/>
  <c r="H96" i="75"/>
  <c r="H97" i="75"/>
  <c r="H98" i="75"/>
  <c r="H99" i="75"/>
  <c r="H100" i="75"/>
  <c r="H101" i="75"/>
  <c r="H102" i="75"/>
  <c r="H103" i="75"/>
  <c r="H105" i="75"/>
  <c r="H106" i="75"/>
  <c r="H107" i="75"/>
  <c r="H108" i="75"/>
  <c r="H109" i="75"/>
  <c r="H110" i="75"/>
  <c r="H111" i="75"/>
  <c r="AF15" i="75"/>
  <c r="AG15" i="75"/>
  <c r="AF16" i="75"/>
  <c r="AG16" i="75"/>
  <c r="AF17" i="75"/>
  <c r="AG17" i="75"/>
  <c r="AF18" i="75"/>
  <c r="AG18" i="75"/>
  <c r="AF19" i="75"/>
  <c r="AG19" i="75"/>
  <c r="AF20" i="75"/>
  <c r="AG20" i="75"/>
  <c r="AF21" i="75"/>
  <c r="AG21" i="75"/>
  <c r="AF22" i="75"/>
  <c r="AG22" i="75"/>
  <c r="AF23" i="75"/>
  <c r="AG23" i="75"/>
  <c r="AF24" i="75"/>
  <c r="AG24" i="75"/>
  <c r="AF25" i="75"/>
  <c r="AG25" i="75"/>
  <c r="AF26" i="75"/>
  <c r="AG26" i="75"/>
  <c r="AF27" i="75"/>
  <c r="AG27" i="75"/>
  <c r="AF28" i="75"/>
  <c r="AG28" i="75"/>
  <c r="AF29" i="75"/>
  <c r="AG29" i="75"/>
  <c r="AF30" i="75"/>
  <c r="AG30" i="75"/>
  <c r="AF31" i="75"/>
  <c r="AG31" i="75"/>
  <c r="AF32" i="75"/>
  <c r="AG32" i="75"/>
  <c r="AF33" i="75"/>
  <c r="AG33" i="75"/>
  <c r="AF34" i="75"/>
  <c r="AG34" i="75"/>
  <c r="AF35" i="75"/>
  <c r="AG35" i="75"/>
  <c r="AF36" i="75"/>
  <c r="AG36" i="75"/>
  <c r="AF37" i="75"/>
  <c r="AG37" i="75"/>
  <c r="AF38" i="75"/>
  <c r="AG38" i="75"/>
  <c r="AF39" i="75"/>
  <c r="AG39" i="75"/>
  <c r="AF40" i="75"/>
  <c r="AG40" i="75"/>
  <c r="AF41" i="75"/>
  <c r="AG41" i="75"/>
  <c r="AF42" i="75"/>
  <c r="AG42" i="75"/>
  <c r="AF43" i="75"/>
  <c r="AG43" i="75"/>
  <c r="AG14" i="75"/>
  <c r="AF14" i="75"/>
  <c r="M14" i="73"/>
  <c r="M15" i="73"/>
  <c r="M16" i="73"/>
  <c r="M17" i="73"/>
  <c r="M18" i="73"/>
  <c r="M19" i="73"/>
  <c r="M20" i="73"/>
  <c r="M21" i="73"/>
  <c r="M22" i="73"/>
  <c r="M23" i="73"/>
  <c r="M24" i="73"/>
  <c r="M25" i="73"/>
  <c r="M26" i="73"/>
  <c r="M27" i="73"/>
  <c r="M28" i="73"/>
  <c r="M29" i="73"/>
  <c r="M30" i="73"/>
  <c r="M31" i="73"/>
  <c r="M32" i="73"/>
  <c r="M33" i="73"/>
  <c r="M34" i="73"/>
  <c r="M35" i="73"/>
  <c r="M36" i="73"/>
  <c r="M37" i="73"/>
  <c r="M38" i="73"/>
  <c r="M39" i="73"/>
  <c r="M40" i="73"/>
  <c r="M42" i="73"/>
  <c r="M41" i="73"/>
  <c r="C13" i="73"/>
  <c r="B13" i="73"/>
  <c r="A13" i="73"/>
  <c r="H81" i="73"/>
  <c r="H82" i="73"/>
  <c r="H83" i="73"/>
  <c r="H84" i="73"/>
  <c r="H79" i="73"/>
  <c r="H80" i="73"/>
  <c r="H87" i="73"/>
  <c r="H88" i="73"/>
  <c r="H89" i="73"/>
  <c r="H90" i="73"/>
  <c r="H91" i="73"/>
  <c r="H92" i="73"/>
  <c r="H93" i="73"/>
  <c r="H94" i="73"/>
  <c r="H95" i="73"/>
  <c r="H96" i="73"/>
  <c r="H97" i="73"/>
  <c r="H98" i="73"/>
  <c r="H99" i="73"/>
  <c r="H100" i="73"/>
  <c r="H101" i="73"/>
  <c r="H102" i="73"/>
  <c r="H103" i="73"/>
  <c r="H105" i="73"/>
  <c r="H106" i="73"/>
  <c r="H107" i="73"/>
  <c r="H108" i="73"/>
  <c r="H109" i="73"/>
  <c r="H110" i="73"/>
  <c r="H111" i="73"/>
  <c r="M13" i="73"/>
  <c r="AF15" i="73"/>
  <c r="AG15" i="73"/>
  <c r="AF16" i="73"/>
  <c r="AG16" i="73"/>
  <c r="AF17" i="73"/>
  <c r="AG17" i="73"/>
  <c r="AF18" i="73"/>
  <c r="AG18" i="73"/>
  <c r="AF19" i="73"/>
  <c r="AG19" i="73"/>
  <c r="AF20" i="73"/>
  <c r="AG20" i="73"/>
  <c r="AF21" i="73"/>
  <c r="AG21" i="73"/>
  <c r="AF22" i="73"/>
  <c r="AG22" i="73"/>
  <c r="AF23" i="73"/>
  <c r="AG23" i="73"/>
  <c r="AF24" i="73"/>
  <c r="AG24" i="73"/>
  <c r="AF25" i="73"/>
  <c r="AG25" i="73"/>
  <c r="AF26" i="73"/>
  <c r="AG26" i="73"/>
  <c r="AF27" i="73"/>
  <c r="AG27" i="73"/>
  <c r="AF28" i="73"/>
  <c r="AG28" i="73"/>
  <c r="AF29" i="73"/>
  <c r="AG29" i="73"/>
  <c r="AF30" i="73"/>
  <c r="AG30" i="73"/>
  <c r="AF31" i="73"/>
  <c r="AG31" i="73"/>
  <c r="AF32" i="73"/>
  <c r="AG32" i="73"/>
  <c r="AF33" i="73"/>
  <c r="AG33" i="73"/>
  <c r="AF34" i="73"/>
  <c r="AG34" i="73"/>
  <c r="AF35" i="73"/>
  <c r="AG35" i="73"/>
  <c r="AF36" i="73"/>
  <c r="AG36" i="73"/>
  <c r="AF37" i="73"/>
  <c r="AG37" i="73"/>
  <c r="AF38" i="73"/>
  <c r="AG38" i="73"/>
  <c r="AF39" i="73"/>
  <c r="AG39" i="73"/>
  <c r="AF40" i="73"/>
  <c r="AG40" i="73"/>
  <c r="AF41" i="73"/>
  <c r="AG41" i="73"/>
  <c r="AG14" i="73"/>
  <c r="AF14" i="73"/>
  <c r="G53" i="73"/>
  <c r="G52" i="73"/>
  <c r="M14" i="86"/>
  <c r="M15" i="86"/>
  <c r="M16" i="86"/>
  <c r="M17" i="86"/>
  <c r="M18" i="86"/>
  <c r="M19" i="86"/>
  <c r="M20" i="86"/>
  <c r="M21" i="86"/>
  <c r="M22" i="86"/>
  <c r="M23" i="86"/>
  <c r="M24" i="86"/>
  <c r="M25" i="86"/>
  <c r="M26" i="86"/>
  <c r="M27" i="86"/>
  <c r="M28" i="86"/>
  <c r="M29" i="86"/>
  <c r="M30" i="86"/>
  <c r="M31" i="86"/>
  <c r="M32" i="86"/>
  <c r="M33" i="86"/>
  <c r="M34" i="86"/>
  <c r="M35" i="86"/>
  <c r="M36" i="86"/>
  <c r="M37" i="86"/>
  <c r="M38" i="86"/>
  <c r="M39" i="86"/>
  <c r="M40" i="86"/>
  <c r="M41" i="86"/>
  <c r="M42" i="86"/>
  <c r="M43" i="86"/>
  <c r="M44" i="86"/>
  <c r="AF15" i="86"/>
  <c r="AG15" i="86"/>
  <c r="AF16" i="86"/>
  <c r="AG16" i="86"/>
  <c r="AF17" i="86"/>
  <c r="AG17" i="86"/>
  <c r="AF18" i="86"/>
  <c r="AG18" i="86"/>
  <c r="AF19" i="86"/>
  <c r="AG19" i="86"/>
  <c r="AF20" i="86"/>
  <c r="AG20" i="86"/>
  <c r="AF21" i="86"/>
  <c r="AG21" i="86"/>
  <c r="AF22" i="86"/>
  <c r="AG22" i="86"/>
  <c r="AF23" i="86"/>
  <c r="AG23" i="86"/>
  <c r="AF24" i="86"/>
  <c r="AG24" i="86"/>
  <c r="AF25" i="86"/>
  <c r="AG25" i="86"/>
  <c r="AF26" i="86"/>
  <c r="AG26" i="86"/>
  <c r="AF27" i="86"/>
  <c r="AG27" i="86"/>
  <c r="AF28" i="86"/>
  <c r="AG28" i="86"/>
  <c r="AF29" i="86"/>
  <c r="AG29" i="86"/>
  <c r="AF30" i="86"/>
  <c r="AG30" i="86"/>
  <c r="AF31" i="86"/>
  <c r="AG31" i="86"/>
  <c r="AF32" i="86"/>
  <c r="AG32" i="86"/>
  <c r="AF33" i="86"/>
  <c r="AG33" i="86"/>
  <c r="AF34" i="86"/>
  <c r="AG34" i="86"/>
  <c r="AF35" i="86"/>
  <c r="AG35" i="86"/>
  <c r="AF36" i="86"/>
  <c r="AG36" i="86"/>
  <c r="AF37" i="86"/>
  <c r="AG37" i="86"/>
  <c r="AF38" i="86"/>
  <c r="AG38" i="86"/>
  <c r="AF39" i="86"/>
  <c r="AG39" i="86"/>
  <c r="AF40" i="86"/>
  <c r="AG40" i="86"/>
  <c r="AF41" i="86"/>
  <c r="AG41" i="86"/>
  <c r="AF42" i="86"/>
  <c r="AG42" i="86"/>
  <c r="AF43" i="86"/>
  <c r="AG43" i="86"/>
  <c r="AF44" i="86"/>
  <c r="AG44" i="86"/>
  <c r="AF14" i="86"/>
  <c r="G53" i="86"/>
  <c r="G52" i="86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P37" i="73"/>
  <c r="P38" i="73"/>
  <c r="AE37" i="73"/>
  <c r="AE38" i="73"/>
  <c r="AE43" i="84"/>
  <c r="AE42" i="84"/>
  <c r="AE41" i="84"/>
  <c r="AE40" i="84"/>
  <c r="AE39" i="84"/>
  <c r="AE38" i="84"/>
  <c r="AE37" i="84"/>
  <c r="AE36" i="84"/>
  <c r="AE35" i="84"/>
  <c r="AE34" i="84"/>
  <c r="AE33" i="84"/>
  <c r="AE32" i="84"/>
  <c r="AE31" i="84"/>
  <c r="AE30" i="84"/>
  <c r="AE29" i="84"/>
  <c r="AE28" i="84"/>
  <c r="AE27" i="84"/>
  <c r="AE26" i="84"/>
  <c r="AE25" i="84"/>
  <c r="AE24" i="84"/>
  <c r="AE23" i="84"/>
  <c r="AE22" i="84"/>
  <c r="AE21" i="84"/>
  <c r="AE20" i="84"/>
  <c r="AE19" i="84"/>
  <c r="AE18" i="84"/>
  <c r="AE17" i="84"/>
  <c r="AE16" i="84"/>
  <c r="AE15" i="84"/>
  <c r="AE14" i="84"/>
  <c r="AE43" i="83"/>
  <c r="AE42" i="83"/>
  <c r="AE41" i="83"/>
  <c r="AE40" i="83"/>
  <c r="AE39" i="83"/>
  <c r="AE38" i="83"/>
  <c r="AE37" i="83"/>
  <c r="AE36" i="83"/>
  <c r="AE35" i="83"/>
  <c r="AE34" i="83"/>
  <c r="AE33" i="83"/>
  <c r="AE32" i="83"/>
  <c r="AE31" i="83"/>
  <c r="AE30" i="83"/>
  <c r="AE29" i="83"/>
  <c r="AE28" i="83"/>
  <c r="AE27" i="83"/>
  <c r="AE26" i="83"/>
  <c r="AE25" i="83"/>
  <c r="AE24" i="83"/>
  <c r="AE23" i="83"/>
  <c r="AE22" i="83"/>
  <c r="AE21" i="83"/>
  <c r="AE20" i="83"/>
  <c r="AE19" i="83"/>
  <c r="AE18" i="83"/>
  <c r="AE17" i="83"/>
  <c r="AE16" i="83"/>
  <c r="AE15" i="83"/>
  <c r="AE14" i="83"/>
  <c r="AE43" i="82"/>
  <c r="AE42" i="82"/>
  <c r="AE41" i="82"/>
  <c r="AE40" i="82"/>
  <c r="AE38" i="82"/>
  <c r="AE37" i="82"/>
  <c r="AE36" i="82"/>
  <c r="AE35" i="82"/>
  <c r="AE34" i="82"/>
  <c r="AE33" i="82"/>
  <c r="AE32" i="82"/>
  <c r="AE31" i="82"/>
  <c r="AE30" i="82"/>
  <c r="AE29" i="82"/>
  <c r="AE28" i="82"/>
  <c r="AE27" i="82"/>
  <c r="AE26" i="82"/>
  <c r="AE25" i="82"/>
  <c r="AE24" i="82"/>
  <c r="AE23" i="82"/>
  <c r="AE22" i="82"/>
  <c r="AE21" i="82"/>
  <c r="AE20" i="82"/>
  <c r="AE19" i="82"/>
  <c r="AE18" i="82"/>
  <c r="AE17" i="82"/>
  <c r="AE16" i="82"/>
  <c r="AE15" i="82"/>
  <c r="AE14" i="82"/>
  <c r="AE15" i="75"/>
  <c r="AE16" i="75"/>
  <c r="AE17" i="75"/>
  <c r="AE19" i="75"/>
  <c r="AE20" i="75"/>
  <c r="AE21" i="75"/>
  <c r="AE22" i="75"/>
  <c r="AE23" i="75"/>
  <c r="AE24" i="75"/>
  <c r="AE25" i="75"/>
  <c r="AE26" i="75"/>
  <c r="AE27" i="75"/>
  <c r="AE28" i="75"/>
  <c r="AE29" i="75"/>
  <c r="AE30" i="75"/>
  <c r="AE31" i="75"/>
  <c r="AE32" i="75"/>
  <c r="AE33" i="75"/>
  <c r="AE34" i="75"/>
  <c r="AE35" i="75"/>
  <c r="AE36" i="75"/>
  <c r="AE39" i="75"/>
  <c r="AE40" i="75"/>
  <c r="AE41" i="75"/>
  <c r="AE42" i="75"/>
  <c r="AE43" i="75"/>
  <c r="AE14" i="75"/>
  <c r="AE15" i="73"/>
  <c r="AE16" i="73"/>
  <c r="AE17" i="73"/>
  <c r="AE18" i="73"/>
  <c r="AE19" i="73"/>
  <c r="AE20" i="73"/>
  <c r="AE21" i="73"/>
  <c r="AE22" i="73"/>
  <c r="AE23" i="73"/>
  <c r="AE24" i="73"/>
  <c r="AE25" i="73"/>
  <c r="AE26" i="73"/>
  <c r="AE27" i="73"/>
  <c r="AE28" i="73"/>
  <c r="AE29" i="73"/>
  <c r="AE30" i="73"/>
  <c r="AE31" i="73"/>
  <c r="AE32" i="73"/>
  <c r="AE33" i="73"/>
  <c r="AE34" i="73"/>
  <c r="AE35" i="73"/>
  <c r="AE36" i="73"/>
  <c r="AE39" i="73"/>
  <c r="AE40" i="73"/>
  <c r="AE41" i="73"/>
  <c r="AE14" i="73"/>
  <c r="AE44" i="87"/>
  <c r="AE43" i="87"/>
  <c r="AE42" i="87"/>
  <c r="AE41" i="87"/>
  <c r="AE40" i="87"/>
  <c r="AE39" i="87"/>
  <c r="AE38" i="87"/>
  <c r="AE37" i="87"/>
  <c r="AE36" i="87"/>
  <c r="AE35" i="87"/>
  <c r="AE34" i="87"/>
  <c r="AE33" i="87"/>
  <c r="AE32" i="87"/>
  <c r="AE31" i="87"/>
  <c r="AE30" i="87"/>
  <c r="AE29" i="87"/>
  <c r="AE28" i="87"/>
  <c r="AE27" i="87"/>
  <c r="AE26" i="87"/>
  <c r="AE25" i="87"/>
  <c r="AE24" i="87"/>
  <c r="AE23" i="87"/>
  <c r="AE22" i="87"/>
  <c r="AE21" i="87"/>
  <c r="AE20" i="87"/>
  <c r="AE19" i="87"/>
  <c r="AE18" i="87"/>
  <c r="AE17" i="87"/>
  <c r="AE16" i="87"/>
  <c r="AE15" i="87"/>
  <c r="AE14" i="87"/>
  <c r="AE44" i="81"/>
  <c r="AE43" i="81"/>
  <c r="AE42" i="81"/>
  <c r="AE41" i="81"/>
  <c r="AE40" i="81"/>
  <c r="AE39" i="81"/>
  <c r="AE38" i="81"/>
  <c r="AE37" i="81"/>
  <c r="AE36" i="81"/>
  <c r="AE35" i="81"/>
  <c r="AE34" i="81"/>
  <c r="AE33" i="81"/>
  <c r="AE32" i="81"/>
  <c r="AE31" i="81"/>
  <c r="AE30" i="81"/>
  <c r="AE29" i="81"/>
  <c r="AE28" i="81"/>
  <c r="AE27" i="81"/>
  <c r="AE26" i="81"/>
  <c r="AE25" i="81"/>
  <c r="AE24" i="81"/>
  <c r="AE23" i="81"/>
  <c r="AE22" i="81"/>
  <c r="AE21" i="81"/>
  <c r="AE20" i="81"/>
  <c r="AE19" i="81"/>
  <c r="AE18" i="81"/>
  <c r="AE17" i="81"/>
  <c r="AE16" i="81"/>
  <c r="AE15" i="81"/>
  <c r="AE14" i="81"/>
  <c r="AE44" i="80"/>
  <c r="AE43" i="80"/>
  <c r="AE42" i="80"/>
  <c r="AE41" i="80"/>
  <c r="AE40" i="80"/>
  <c r="AE39" i="80"/>
  <c r="AE38" i="80"/>
  <c r="AE37" i="80"/>
  <c r="AE36" i="80"/>
  <c r="AE35" i="80"/>
  <c r="AE34" i="80"/>
  <c r="AE33" i="80"/>
  <c r="AE32" i="80"/>
  <c r="AE31" i="80"/>
  <c r="AE30" i="80"/>
  <c r="AE29" i="80"/>
  <c r="AE28" i="80"/>
  <c r="AE27" i="80"/>
  <c r="AE26" i="80"/>
  <c r="AE25" i="80"/>
  <c r="AE24" i="80"/>
  <c r="AE23" i="80"/>
  <c r="AE22" i="80"/>
  <c r="AE21" i="80"/>
  <c r="AE20" i="80"/>
  <c r="AE18" i="80"/>
  <c r="AE17" i="80"/>
  <c r="AE16" i="80"/>
  <c r="AE15" i="80"/>
  <c r="AE14" i="80"/>
  <c r="AE44" i="79"/>
  <c r="AE43" i="79"/>
  <c r="AE42" i="79"/>
  <c r="AE41" i="79"/>
  <c r="AE40" i="79"/>
  <c r="AE39" i="79"/>
  <c r="AE38" i="79"/>
  <c r="AE37" i="79"/>
  <c r="AE36" i="79"/>
  <c r="AE35" i="79"/>
  <c r="AE34" i="79"/>
  <c r="AE33" i="79"/>
  <c r="AE32" i="79"/>
  <c r="AE31" i="79"/>
  <c r="AE30" i="79"/>
  <c r="AE29" i="79"/>
  <c r="AE28" i="79"/>
  <c r="AE27" i="79"/>
  <c r="AE26" i="79"/>
  <c r="AE25" i="79"/>
  <c r="AE24" i="79"/>
  <c r="AE23" i="79"/>
  <c r="AE22" i="79"/>
  <c r="AE21" i="79"/>
  <c r="AE20" i="79"/>
  <c r="AE19" i="79"/>
  <c r="AE18" i="79"/>
  <c r="AE17" i="79"/>
  <c r="AE16" i="79"/>
  <c r="AE15" i="79"/>
  <c r="AE14" i="79"/>
  <c r="AE44" i="78"/>
  <c r="AE43" i="78"/>
  <c r="AE42" i="78"/>
  <c r="AE41" i="78"/>
  <c r="AE40" i="78"/>
  <c r="AE39" i="78"/>
  <c r="AE38" i="78"/>
  <c r="AE37" i="78"/>
  <c r="AE36" i="78"/>
  <c r="AE35" i="78"/>
  <c r="AE34" i="78"/>
  <c r="AE33" i="78"/>
  <c r="AE32" i="78"/>
  <c r="AE31" i="78"/>
  <c r="AE30" i="78"/>
  <c r="AE29" i="78"/>
  <c r="AE28" i="78"/>
  <c r="AE27" i="78"/>
  <c r="AE26" i="78"/>
  <c r="AE25" i="78"/>
  <c r="AE24" i="78"/>
  <c r="AE23" i="78"/>
  <c r="AE22" i="78"/>
  <c r="AE21" i="78"/>
  <c r="AE20" i="78"/>
  <c r="AE19" i="78"/>
  <c r="AE18" i="78"/>
  <c r="AE17" i="78"/>
  <c r="AE16" i="78"/>
  <c r="AE15" i="78"/>
  <c r="AE14" i="78"/>
  <c r="AE44" i="77"/>
  <c r="AE43" i="77"/>
  <c r="AE42" i="77"/>
  <c r="AE41" i="77"/>
  <c r="AE40" i="77"/>
  <c r="AE39" i="77"/>
  <c r="AE38" i="77"/>
  <c r="AE37" i="77"/>
  <c r="AE36" i="77"/>
  <c r="AE35" i="77"/>
  <c r="AE34" i="77"/>
  <c r="AE33" i="77"/>
  <c r="AE32" i="77"/>
  <c r="AE31" i="77"/>
  <c r="AE30" i="77"/>
  <c r="AE29" i="77"/>
  <c r="AE28" i="77"/>
  <c r="AE27" i="77"/>
  <c r="AE26" i="77"/>
  <c r="AE25" i="77"/>
  <c r="AE24" i="77"/>
  <c r="AE23" i="77"/>
  <c r="AE22" i="77"/>
  <c r="AE21" i="77"/>
  <c r="AE20" i="77"/>
  <c r="AE19" i="77"/>
  <c r="AE18" i="77"/>
  <c r="AE17" i="77"/>
  <c r="AE16" i="77"/>
  <c r="AE15" i="77"/>
  <c r="AE14" i="77"/>
  <c r="AE44" i="76"/>
  <c r="AE43" i="76"/>
  <c r="AE42" i="76"/>
  <c r="AE41" i="76"/>
  <c r="AE40" i="76"/>
  <c r="AE39" i="76"/>
  <c r="AE38" i="76"/>
  <c r="AE37" i="76"/>
  <c r="AE36" i="76"/>
  <c r="AE35" i="76"/>
  <c r="AE34" i="76"/>
  <c r="AE33" i="76"/>
  <c r="AE32" i="76"/>
  <c r="AE31" i="76"/>
  <c r="AE30" i="76"/>
  <c r="AE29" i="76"/>
  <c r="AE28" i="76"/>
  <c r="AE27" i="76"/>
  <c r="AE26" i="76"/>
  <c r="AE25" i="76"/>
  <c r="AE24" i="76"/>
  <c r="AE23" i="76"/>
  <c r="AE22" i="76"/>
  <c r="AE21" i="76"/>
  <c r="AE20" i="76"/>
  <c r="AE19" i="76"/>
  <c r="AE18" i="76"/>
  <c r="AE17" i="76"/>
  <c r="AE16" i="76"/>
  <c r="AE15" i="76"/>
  <c r="AE14" i="76"/>
  <c r="AE15" i="86"/>
  <c r="AE16" i="86"/>
  <c r="AE17" i="86"/>
  <c r="AE18" i="86"/>
  <c r="AE19" i="86"/>
  <c r="AE20" i="86"/>
  <c r="AE21" i="86"/>
  <c r="AE22" i="86"/>
  <c r="AE23" i="86"/>
  <c r="AE24" i="86"/>
  <c r="AE25" i="86"/>
  <c r="AE26" i="86"/>
  <c r="AE27" i="86"/>
  <c r="AE28" i="86"/>
  <c r="AE29" i="86"/>
  <c r="AE30" i="86"/>
  <c r="AE31" i="86"/>
  <c r="AE32" i="86"/>
  <c r="AE33" i="86"/>
  <c r="AE34" i="86"/>
  <c r="AE35" i="86"/>
  <c r="AE36" i="86"/>
  <c r="AE37" i="86"/>
  <c r="AE38" i="86"/>
  <c r="AE39" i="86"/>
  <c r="AE40" i="86"/>
  <c r="AE41" i="86"/>
  <c r="AE42" i="86"/>
  <c r="AE43" i="86"/>
  <c r="AE44" i="86"/>
  <c r="AE14" i="86"/>
  <c r="P43" i="84"/>
  <c r="P42" i="84"/>
  <c r="P41" i="84"/>
  <c r="P40" i="84"/>
  <c r="P39" i="84"/>
  <c r="P38" i="84"/>
  <c r="P37" i="84"/>
  <c r="P36" i="84"/>
  <c r="P35" i="84"/>
  <c r="P34" i="84"/>
  <c r="P33" i="84"/>
  <c r="P32" i="84"/>
  <c r="P31" i="84"/>
  <c r="P30" i="84"/>
  <c r="P29" i="84"/>
  <c r="P28" i="84"/>
  <c r="P27" i="84"/>
  <c r="P26" i="84"/>
  <c r="P25" i="84"/>
  <c r="P24" i="84"/>
  <c r="P23" i="84"/>
  <c r="P22" i="84"/>
  <c r="P21" i="84"/>
  <c r="P20" i="84"/>
  <c r="P19" i="84"/>
  <c r="P18" i="84"/>
  <c r="P17" i="84"/>
  <c r="P15" i="84"/>
  <c r="P14" i="84"/>
  <c r="P43" i="83"/>
  <c r="P42" i="83"/>
  <c r="P41" i="83"/>
  <c r="P40" i="83"/>
  <c r="P39" i="83"/>
  <c r="P38" i="83"/>
  <c r="P37" i="83"/>
  <c r="P36" i="83"/>
  <c r="P35" i="83"/>
  <c r="P34" i="83"/>
  <c r="P33" i="83"/>
  <c r="P32" i="83"/>
  <c r="P31" i="83"/>
  <c r="P30" i="83"/>
  <c r="P29" i="83"/>
  <c r="P28" i="83"/>
  <c r="P27" i="83"/>
  <c r="P26" i="83"/>
  <c r="P25" i="83"/>
  <c r="P24" i="83"/>
  <c r="P23" i="83"/>
  <c r="P22" i="83"/>
  <c r="P21" i="83"/>
  <c r="P20" i="83"/>
  <c r="P19" i="83"/>
  <c r="P18" i="83"/>
  <c r="P17" i="83"/>
  <c r="P16" i="83"/>
  <c r="P15" i="83"/>
  <c r="P14" i="83"/>
  <c r="P43" i="82"/>
  <c r="P42" i="82"/>
  <c r="P41" i="82"/>
  <c r="P40" i="82"/>
  <c r="P38" i="82"/>
  <c r="P37" i="82"/>
  <c r="P36" i="82"/>
  <c r="P35" i="82"/>
  <c r="P34" i="82"/>
  <c r="P33" i="82"/>
  <c r="P32" i="82"/>
  <c r="P31" i="82"/>
  <c r="P30" i="82"/>
  <c r="P29" i="82"/>
  <c r="P28" i="82"/>
  <c r="P27" i="82"/>
  <c r="P26" i="82"/>
  <c r="P25" i="82"/>
  <c r="P24" i="82"/>
  <c r="P23" i="82"/>
  <c r="P22" i="82"/>
  <c r="P21" i="82"/>
  <c r="P20" i="82"/>
  <c r="P19" i="82"/>
  <c r="P18" i="82"/>
  <c r="P17" i="82"/>
  <c r="P16" i="82"/>
  <c r="P14" i="82"/>
  <c r="P15" i="75"/>
  <c r="P16" i="75"/>
  <c r="P17" i="75"/>
  <c r="P19" i="75"/>
  <c r="P20" i="75"/>
  <c r="P21" i="75"/>
  <c r="P22" i="75"/>
  <c r="P23" i="75"/>
  <c r="P24" i="75"/>
  <c r="P25" i="75"/>
  <c r="P26" i="75"/>
  <c r="P27" i="75"/>
  <c r="P28" i="75"/>
  <c r="P29" i="75"/>
  <c r="P30" i="75"/>
  <c r="P31" i="75"/>
  <c r="P32" i="75"/>
  <c r="P33" i="75"/>
  <c r="P34" i="75"/>
  <c r="P35" i="75"/>
  <c r="P36" i="75"/>
  <c r="P39" i="75"/>
  <c r="P40" i="75"/>
  <c r="P41" i="75"/>
  <c r="P42" i="75"/>
  <c r="P43" i="75"/>
  <c r="P14" i="75"/>
  <c r="P15" i="73"/>
  <c r="P16" i="73"/>
  <c r="P17" i="73"/>
  <c r="P18" i="73"/>
  <c r="P19" i="73"/>
  <c r="P20" i="73"/>
  <c r="P21" i="73"/>
  <c r="P22" i="73"/>
  <c r="P23" i="73"/>
  <c r="P24" i="73"/>
  <c r="P25" i="73"/>
  <c r="P26" i="73"/>
  <c r="P27" i="73"/>
  <c r="P28" i="73"/>
  <c r="P29" i="73"/>
  <c r="P30" i="73"/>
  <c r="P31" i="73"/>
  <c r="P32" i="73"/>
  <c r="P33" i="73"/>
  <c r="P34" i="73"/>
  <c r="P35" i="73"/>
  <c r="P36" i="73"/>
  <c r="P39" i="73"/>
  <c r="P40" i="73"/>
  <c r="P41" i="73"/>
  <c r="P14" i="73"/>
  <c r="P15" i="81"/>
  <c r="P16" i="81"/>
  <c r="P17" i="81"/>
  <c r="P18" i="81"/>
  <c r="P19" i="81"/>
  <c r="P20" i="81"/>
  <c r="P21" i="81"/>
  <c r="P22" i="81"/>
  <c r="P23" i="81"/>
  <c r="P24" i="81"/>
  <c r="P25" i="81"/>
  <c r="P26" i="81"/>
  <c r="P27" i="81"/>
  <c r="P28" i="81"/>
  <c r="P29" i="81"/>
  <c r="P30" i="81"/>
  <c r="P31" i="81"/>
  <c r="P32" i="81"/>
  <c r="P33" i="81"/>
  <c r="P34" i="81"/>
  <c r="P35" i="81"/>
  <c r="P36" i="81"/>
  <c r="P37" i="81"/>
  <c r="P38" i="81"/>
  <c r="P39" i="81"/>
  <c r="P40" i="81"/>
  <c r="P43" i="81"/>
  <c r="P44" i="81"/>
  <c r="P14" i="81"/>
  <c r="P19" i="86"/>
  <c r="P20" i="86"/>
  <c r="P21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14" i="86"/>
  <c r="B58" i="84"/>
  <c r="B58" i="83"/>
  <c r="B58" i="82"/>
  <c r="B58" i="75"/>
  <c r="B58" i="73"/>
  <c r="B58" i="87"/>
  <c r="B58" i="81"/>
  <c r="B58" i="80"/>
  <c r="B58" i="79"/>
  <c r="B58" i="78"/>
  <c r="B58" i="77"/>
  <c r="B58" i="76"/>
  <c r="B58" i="86"/>
  <c r="C13" i="76"/>
  <c r="A13" i="76"/>
  <c r="C13" i="86"/>
  <c r="A13" i="86"/>
  <c r="Q14" i="73"/>
  <c r="Q15" i="73"/>
  <c r="Q16" i="73"/>
  <c r="Q17" i="73"/>
  <c r="Q18" i="73"/>
  <c r="Q19" i="73"/>
  <c r="Q20" i="73"/>
  <c r="Q21" i="73"/>
  <c r="Q22" i="73"/>
  <c r="Q23" i="73"/>
  <c r="Q24" i="73"/>
  <c r="Q25" i="73"/>
  <c r="Q26" i="73"/>
  <c r="Q27" i="73"/>
  <c r="Q28" i="73"/>
  <c r="Q29" i="73"/>
  <c r="Q30" i="73"/>
  <c r="Q31" i="73"/>
  <c r="Q32" i="73"/>
  <c r="Q33" i="73"/>
  <c r="Q34" i="73"/>
  <c r="Q35" i="73"/>
  <c r="Q36" i="73"/>
  <c r="Q37" i="73"/>
  <c r="Q38" i="73"/>
  <c r="Q39" i="73"/>
  <c r="Q40" i="73"/>
  <c r="Q41" i="73"/>
  <c r="AH14" i="73"/>
  <c r="AH15" i="73"/>
  <c r="AH16" i="73"/>
  <c r="AH17" i="73"/>
  <c r="AH18" i="73"/>
  <c r="AH19" i="73"/>
  <c r="AH20" i="73"/>
  <c r="AH21" i="73"/>
  <c r="AH22" i="73"/>
  <c r="AH23" i="73"/>
  <c r="AH24" i="73"/>
  <c r="AH25" i="73"/>
  <c r="AH26" i="73"/>
  <c r="AH27" i="73"/>
  <c r="AH28" i="73"/>
  <c r="AH29" i="73"/>
  <c r="AH30" i="73"/>
  <c r="AH31" i="73"/>
  <c r="AH32" i="73"/>
  <c r="AH33" i="73"/>
  <c r="AH34" i="73"/>
  <c r="AH35" i="73"/>
  <c r="AH36" i="73"/>
  <c r="AH37" i="73"/>
  <c r="AH38" i="73"/>
  <c r="AH39" i="73"/>
  <c r="AH40" i="73"/>
  <c r="AH41" i="73"/>
  <c r="R14" i="73"/>
  <c r="R15" i="73"/>
  <c r="R16" i="73"/>
  <c r="R17" i="73"/>
  <c r="R18" i="73"/>
  <c r="R19" i="73"/>
  <c r="R20" i="73"/>
  <c r="R21" i="73"/>
  <c r="R22" i="73"/>
  <c r="R23" i="73"/>
  <c r="R24" i="73"/>
  <c r="R25" i="73"/>
  <c r="R26" i="73"/>
  <c r="R27" i="73"/>
  <c r="R28" i="73"/>
  <c r="R29" i="73"/>
  <c r="R30" i="73"/>
  <c r="R31" i="73"/>
  <c r="R32" i="73"/>
  <c r="R33" i="73"/>
  <c r="R34" i="73"/>
  <c r="R35" i="73"/>
  <c r="R36" i="73"/>
  <c r="R37" i="73"/>
  <c r="R38" i="73"/>
  <c r="R39" i="73"/>
  <c r="R40" i="73"/>
  <c r="R41" i="73"/>
  <c r="AH14" i="84"/>
  <c r="AH15" i="84"/>
  <c r="AH16" i="84"/>
  <c r="AH17" i="84"/>
  <c r="AH18" i="84"/>
  <c r="AH19" i="84"/>
  <c r="AH20" i="84"/>
  <c r="AH21" i="84"/>
  <c r="AH22" i="84"/>
  <c r="AH23" i="84"/>
  <c r="AH24" i="84"/>
  <c r="AH25" i="84"/>
  <c r="AH26" i="84"/>
  <c r="AH27" i="84"/>
  <c r="AH28" i="84"/>
  <c r="AH29" i="84"/>
  <c r="AH30" i="84"/>
  <c r="AH31" i="84"/>
  <c r="AH32" i="84"/>
  <c r="AH33" i="84"/>
  <c r="AH34" i="84"/>
  <c r="AH35" i="84"/>
  <c r="AH36" i="84"/>
  <c r="AH37" i="84"/>
  <c r="AH38" i="84"/>
  <c r="AH39" i="84"/>
  <c r="AH40" i="84"/>
  <c r="AH41" i="84"/>
  <c r="AH42" i="84"/>
  <c r="AH43" i="84"/>
  <c r="L63" i="84"/>
  <c r="L62" i="84"/>
  <c r="Q14" i="84"/>
  <c r="Q15" i="84"/>
  <c r="Q16" i="84"/>
  <c r="Q17" i="84"/>
  <c r="Q18" i="84"/>
  <c r="Q19" i="84"/>
  <c r="Q20" i="84"/>
  <c r="Q21" i="84"/>
  <c r="Q22" i="84"/>
  <c r="Q23" i="84"/>
  <c r="Q24" i="84"/>
  <c r="Q25" i="84"/>
  <c r="Q26" i="84"/>
  <c r="Q27" i="84"/>
  <c r="Q28" i="84"/>
  <c r="Q29" i="84"/>
  <c r="Q30" i="84"/>
  <c r="Q31" i="84"/>
  <c r="Q32" i="84"/>
  <c r="Q33" i="84"/>
  <c r="Q34" i="84"/>
  <c r="Q35" i="84"/>
  <c r="Q36" i="84"/>
  <c r="Q37" i="84"/>
  <c r="Q38" i="84"/>
  <c r="Q39" i="84"/>
  <c r="Q40" i="84"/>
  <c r="Q41" i="84"/>
  <c r="Q42" i="84"/>
  <c r="Q43" i="84"/>
  <c r="R14" i="84"/>
  <c r="R15" i="84"/>
  <c r="R16" i="84"/>
  <c r="R17" i="84"/>
  <c r="R18" i="84"/>
  <c r="R19" i="84"/>
  <c r="R20" i="84"/>
  <c r="R21" i="84"/>
  <c r="R22" i="84"/>
  <c r="R23" i="84"/>
  <c r="R24" i="84"/>
  <c r="R25" i="84"/>
  <c r="R26" i="84"/>
  <c r="R27" i="84"/>
  <c r="R28" i="84"/>
  <c r="R29" i="84"/>
  <c r="R30" i="84"/>
  <c r="R31" i="84"/>
  <c r="R32" i="84"/>
  <c r="R33" i="84"/>
  <c r="R34" i="84"/>
  <c r="R35" i="84"/>
  <c r="R36" i="84"/>
  <c r="R37" i="84"/>
  <c r="R38" i="84"/>
  <c r="R39" i="84"/>
  <c r="R40" i="84"/>
  <c r="R41" i="84"/>
  <c r="R42" i="84"/>
  <c r="R43" i="84"/>
  <c r="AH14" i="83"/>
  <c r="AH15" i="83"/>
  <c r="AH16" i="83"/>
  <c r="AH17" i="83"/>
  <c r="AH18" i="83"/>
  <c r="AH19" i="83"/>
  <c r="AH20" i="83"/>
  <c r="AH21" i="83"/>
  <c r="AH22" i="83"/>
  <c r="AH23" i="83"/>
  <c r="AH24" i="83"/>
  <c r="AH25" i="83"/>
  <c r="AH26" i="83"/>
  <c r="AH27" i="83"/>
  <c r="AH28" i="83"/>
  <c r="AH29" i="83"/>
  <c r="AH30" i="83"/>
  <c r="AH31" i="83"/>
  <c r="AH32" i="83"/>
  <c r="AH33" i="83"/>
  <c r="AH34" i="83"/>
  <c r="AH35" i="83"/>
  <c r="AH36" i="83"/>
  <c r="AH37" i="83"/>
  <c r="AH38" i="83"/>
  <c r="AH39" i="83"/>
  <c r="AH40" i="83"/>
  <c r="AH41" i="83"/>
  <c r="AH42" i="83"/>
  <c r="AH43" i="83"/>
  <c r="L63" i="83"/>
  <c r="L62" i="83"/>
  <c r="Q14" i="83"/>
  <c r="Q15" i="83"/>
  <c r="Q16" i="83"/>
  <c r="Q17" i="83"/>
  <c r="Q18" i="83"/>
  <c r="Q19" i="83"/>
  <c r="Q20" i="83"/>
  <c r="Q21" i="83"/>
  <c r="Q22" i="83"/>
  <c r="Q23" i="83"/>
  <c r="Q24" i="83"/>
  <c r="Q25" i="83"/>
  <c r="Q26" i="83"/>
  <c r="Q27" i="83"/>
  <c r="Q28" i="83"/>
  <c r="Q29" i="83"/>
  <c r="Q30" i="83"/>
  <c r="Q31" i="83"/>
  <c r="Q32" i="83"/>
  <c r="Q33" i="83"/>
  <c r="Q34" i="83"/>
  <c r="Q35" i="83"/>
  <c r="Q36" i="83"/>
  <c r="Q37" i="83"/>
  <c r="Q38" i="83"/>
  <c r="Q39" i="83"/>
  <c r="Q40" i="83"/>
  <c r="Q41" i="83"/>
  <c r="Q42" i="83"/>
  <c r="Q43" i="83"/>
  <c r="R14" i="83"/>
  <c r="R15" i="83"/>
  <c r="R16" i="83"/>
  <c r="R17" i="83"/>
  <c r="R18" i="83"/>
  <c r="R19" i="83"/>
  <c r="R20" i="83"/>
  <c r="R21" i="83"/>
  <c r="R22" i="83"/>
  <c r="R23" i="83"/>
  <c r="R24" i="83"/>
  <c r="R25" i="83"/>
  <c r="R26" i="83"/>
  <c r="R27" i="83"/>
  <c r="R28" i="83"/>
  <c r="R29" i="83"/>
  <c r="R30" i="83"/>
  <c r="R31" i="83"/>
  <c r="R32" i="83"/>
  <c r="R33" i="83"/>
  <c r="R34" i="83"/>
  <c r="R35" i="83"/>
  <c r="R36" i="83"/>
  <c r="R37" i="83"/>
  <c r="R38" i="83"/>
  <c r="R39" i="83"/>
  <c r="R40" i="83"/>
  <c r="R41" i="83"/>
  <c r="R42" i="83"/>
  <c r="R43" i="83"/>
  <c r="AH14" i="82"/>
  <c r="AH15" i="82"/>
  <c r="AH16" i="82"/>
  <c r="AH17" i="82"/>
  <c r="AH18" i="82"/>
  <c r="AH19" i="82"/>
  <c r="AH20" i="82"/>
  <c r="AH21" i="82"/>
  <c r="AH22" i="82"/>
  <c r="AH23" i="82"/>
  <c r="AH24" i="82"/>
  <c r="AH25" i="82"/>
  <c r="AH26" i="82"/>
  <c r="AH27" i="82"/>
  <c r="AH28" i="82"/>
  <c r="AH29" i="82"/>
  <c r="AH30" i="82"/>
  <c r="AH31" i="82"/>
  <c r="AH32" i="82"/>
  <c r="AH33" i="82"/>
  <c r="AH34" i="82"/>
  <c r="AH35" i="82"/>
  <c r="AH36" i="82"/>
  <c r="AH37" i="82"/>
  <c r="AH38" i="82"/>
  <c r="AH39" i="82"/>
  <c r="AH40" i="82"/>
  <c r="AH41" i="82"/>
  <c r="AH42" i="82"/>
  <c r="AH43" i="82"/>
  <c r="L63" i="82"/>
  <c r="L62" i="82"/>
  <c r="Q14" i="82"/>
  <c r="Q15" i="82"/>
  <c r="Q16" i="82"/>
  <c r="Q17" i="82"/>
  <c r="Q18" i="82"/>
  <c r="Q19" i="82"/>
  <c r="Q20" i="82"/>
  <c r="Q21" i="82"/>
  <c r="Q22" i="82"/>
  <c r="Q23" i="82"/>
  <c r="Q24" i="82"/>
  <c r="Q25" i="82"/>
  <c r="Q26" i="82"/>
  <c r="Q27" i="82"/>
  <c r="Q28" i="82"/>
  <c r="Q29" i="82"/>
  <c r="Q30" i="82"/>
  <c r="Q31" i="82"/>
  <c r="Q32" i="82"/>
  <c r="Q33" i="82"/>
  <c r="Q34" i="82"/>
  <c r="Q35" i="82"/>
  <c r="Q36" i="82"/>
  <c r="Q37" i="82"/>
  <c r="Q38" i="82"/>
  <c r="Q39" i="82"/>
  <c r="Q40" i="82"/>
  <c r="Q41" i="82"/>
  <c r="Q42" i="82"/>
  <c r="Q43" i="82"/>
  <c r="R14" i="82"/>
  <c r="R15" i="82"/>
  <c r="R16" i="82"/>
  <c r="R17" i="82"/>
  <c r="R18" i="82"/>
  <c r="R19" i="82"/>
  <c r="R20" i="82"/>
  <c r="R21" i="82"/>
  <c r="R22" i="82"/>
  <c r="R23" i="82"/>
  <c r="R24" i="82"/>
  <c r="R25" i="82"/>
  <c r="R26" i="82"/>
  <c r="R27" i="82"/>
  <c r="R28" i="82"/>
  <c r="R29" i="82"/>
  <c r="R30" i="82"/>
  <c r="R31" i="82"/>
  <c r="R32" i="82"/>
  <c r="R33" i="82"/>
  <c r="R34" i="82"/>
  <c r="R35" i="82"/>
  <c r="R36" i="82"/>
  <c r="R37" i="82"/>
  <c r="R38" i="82"/>
  <c r="R39" i="82"/>
  <c r="R40" i="82"/>
  <c r="R41" i="82"/>
  <c r="R42" i="82"/>
  <c r="R43" i="82"/>
  <c r="AH14" i="87"/>
  <c r="AH15" i="87"/>
  <c r="AH16" i="87"/>
  <c r="AH17" i="87"/>
  <c r="AH18" i="87"/>
  <c r="AH19" i="87"/>
  <c r="AH20" i="87"/>
  <c r="AH21" i="87"/>
  <c r="AH22" i="87"/>
  <c r="AH23" i="87"/>
  <c r="AH24" i="87"/>
  <c r="AH25" i="87"/>
  <c r="AH26" i="87"/>
  <c r="AH27" i="87"/>
  <c r="AH28" i="87"/>
  <c r="AH29" i="87"/>
  <c r="AH30" i="87"/>
  <c r="AH31" i="87"/>
  <c r="AH32" i="87"/>
  <c r="AH33" i="87"/>
  <c r="AH34" i="87"/>
  <c r="AH35" i="87"/>
  <c r="AH36" i="87"/>
  <c r="AH37" i="87"/>
  <c r="AH38" i="87"/>
  <c r="AH39" i="87"/>
  <c r="AH40" i="87"/>
  <c r="AH41" i="87"/>
  <c r="AH42" i="87"/>
  <c r="AH43" i="87"/>
  <c r="AH44" i="87"/>
  <c r="L63" i="87"/>
  <c r="L62" i="87"/>
  <c r="Q14" i="87"/>
  <c r="Q15" i="87"/>
  <c r="Q16" i="87"/>
  <c r="Q17" i="87"/>
  <c r="Q18" i="87"/>
  <c r="Q19" i="87"/>
  <c r="Q20" i="87"/>
  <c r="Q21" i="87"/>
  <c r="Q22" i="87"/>
  <c r="Q23" i="87"/>
  <c r="Q24" i="87"/>
  <c r="Q25" i="87"/>
  <c r="Q26" i="87"/>
  <c r="Q27" i="87"/>
  <c r="Q28" i="87"/>
  <c r="Q29" i="87"/>
  <c r="Q30" i="87"/>
  <c r="Q31" i="87"/>
  <c r="Q32" i="87"/>
  <c r="Q33" i="87"/>
  <c r="Q34" i="87"/>
  <c r="Q35" i="87"/>
  <c r="Q36" i="87"/>
  <c r="Q37" i="87"/>
  <c r="Q38" i="87"/>
  <c r="Q39" i="87"/>
  <c r="Q40" i="87"/>
  <c r="Q41" i="87"/>
  <c r="Q42" i="87"/>
  <c r="Q43" i="87"/>
  <c r="Q44" i="87"/>
  <c r="R14" i="87"/>
  <c r="R15" i="87"/>
  <c r="R16" i="87"/>
  <c r="R17" i="87"/>
  <c r="R18" i="87"/>
  <c r="R19" i="87"/>
  <c r="R20" i="87"/>
  <c r="R21" i="87"/>
  <c r="R22" i="87"/>
  <c r="R23" i="87"/>
  <c r="R24" i="87"/>
  <c r="R25" i="87"/>
  <c r="R26" i="87"/>
  <c r="R27" i="87"/>
  <c r="R28" i="87"/>
  <c r="R29" i="87"/>
  <c r="R30" i="87"/>
  <c r="R31" i="87"/>
  <c r="R32" i="87"/>
  <c r="R33" i="87"/>
  <c r="R34" i="87"/>
  <c r="R35" i="87"/>
  <c r="R36" i="87"/>
  <c r="R37" i="87"/>
  <c r="R38" i="87"/>
  <c r="R39" i="87"/>
  <c r="R40" i="87"/>
  <c r="R41" i="87"/>
  <c r="R42" i="87"/>
  <c r="R43" i="87"/>
  <c r="R44" i="87"/>
  <c r="AH14" i="81"/>
  <c r="AH15" i="81"/>
  <c r="AH16" i="81"/>
  <c r="AH17" i="81"/>
  <c r="AH18" i="81"/>
  <c r="AH19" i="81"/>
  <c r="AH20" i="81"/>
  <c r="AH21" i="81"/>
  <c r="AH22" i="81"/>
  <c r="AH23" i="81"/>
  <c r="AH24" i="81"/>
  <c r="AH25" i="81"/>
  <c r="AH26" i="81"/>
  <c r="AH27" i="81"/>
  <c r="AH28" i="81"/>
  <c r="AH29" i="81"/>
  <c r="AH30" i="81"/>
  <c r="AH31" i="81"/>
  <c r="AH32" i="81"/>
  <c r="AH33" i="81"/>
  <c r="AH34" i="81"/>
  <c r="AH35" i="81"/>
  <c r="AH36" i="81"/>
  <c r="AH37" i="81"/>
  <c r="AH38" i="81"/>
  <c r="AH39" i="81"/>
  <c r="AH40" i="81"/>
  <c r="AH41" i="81"/>
  <c r="AH42" i="81"/>
  <c r="AH43" i="81"/>
  <c r="AH44" i="81"/>
  <c r="L63" i="81"/>
  <c r="L62" i="81"/>
  <c r="Q14" i="81"/>
  <c r="Q15" i="81"/>
  <c r="Q16" i="81"/>
  <c r="Q17" i="81"/>
  <c r="Q18" i="81"/>
  <c r="Q19" i="81"/>
  <c r="Q20" i="81"/>
  <c r="Q21" i="81"/>
  <c r="Q22" i="81"/>
  <c r="Q23" i="81"/>
  <c r="Q24" i="81"/>
  <c r="Q25" i="81"/>
  <c r="Q26" i="81"/>
  <c r="Q27" i="81"/>
  <c r="Q28" i="81"/>
  <c r="Q29" i="81"/>
  <c r="Q30" i="81"/>
  <c r="Q31" i="81"/>
  <c r="Q32" i="81"/>
  <c r="Q33" i="81"/>
  <c r="Q34" i="81"/>
  <c r="Q35" i="81"/>
  <c r="Q36" i="81"/>
  <c r="Q37" i="81"/>
  <c r="Q38" i="81"/>
  <c r="Q39" i="81"/>
  <c r="Q40" i="81"/>
  <c r="Q41" i="81"/>
  <c r="Q42" i="81"/>
  <c r="Q43" i="81"/>
  <c r="Q44" i="81"/>
  <c r="R14" i="81"/>
  <c r="R15" i="81"/>
  <c r="R16" i="81"/>
  <c r="R17" i="81"/>
  <c r="R18" i="81"/>
  <c r="R19" i="81"/>
  <c r="R20" i="81"/>
  <c r="R21" i="81"/>
  <c r="R22" i="81"/>
  <c r="R23" i="81"/>
  <c r="R24" i="81"/>
  <c r="R25" i="81"/>
  <c r="R26" i="81"/>
  <c r="R27" i="81"/>
  <c r="R28" i="81"/>
  <c r="R29" i="81"/>
  <c r="R30" i="81"/>
  <c r="R31" i="81"/>
  <c r="R32" i="81"/>
  <c r="R33" i="81"/>
  <c r="R34" i="81"/>
  <c r="R35" i="81"/>
  <c r="R36" i="81"/>
  <c r="R37" i="81"/>
  <c r="R38" i="81"/>
  <c r="R39" i="81"/>
  <c r="R40" i="81"/>
  <c r="R41" i="81"/>
  <c r="R42" i="81"/>
  <c r="R43" i="81"/>
  <c r="R44" i="81"/>
  <c r="M13" i="80"/>
  <c r="AH14" i="80"/>
  <c r="AH15" i="80"/>
  <c r="AH16" i="80"/>
  <c r="AH17" i="80"/>
  <c r="AH18" i="80"/>
  <c r="AH19" i="80"/>
  <c r="AH20" i="80"/>
  <c r="AH21" i="80"/>
  <c r="AH22" i="80"/>
  <c r="AH23" i="80"/>
  <c r="AH24" i="80"/>
  <c r="AH25" i="80"/>
  <c r="AH26" i="80"/>
  <c r="AH27" i="80"/>
  <c r="AH28" i="80"/>
  <c r="AH29" i="80"/>
  <c r="AH30" i="80"/>
  <c r="AH31" i="80"/>
  <c r="AH32" i="80"/>
  <c r="AH33" i="80"/>
  <c r="AH34" i="80"/>
  <c r="AH35" i="80"/>
  <c r="AH36" i="80"/>
  <c r="AH37" i="80"/>
  <c r="AH38" i="80"/>
  <c r="AH39" i="80"/>
  <c r="AH40" i="80"/>
  <c r="AH41" i="80"/>
  <c r="AH42" i="80"/>
  <c r="AH43" i="80"/>
  <c r="AH44" i="80"/>
  <c r="L63" i="80"/>
  <c r="L62" i="80"/>
  <c r="Q14" i="80"/>
  <c r="Q15" i="80"/>
  <c r="Q16" i="80"/>
  <c r="Q17" i="80"/>
  <c r="Q18" i="80"/>
  <c r="Q19" i="80"/>
  <c r="Q20" i="80"/>
  <c r="Q21" i="80"/>
  <c r="Q22" i="80"/>
  <c r="Q23" i="80"/>
  <c r="Q24" i="80"/>
  <c r="Q25" i="80"/>
  <c r="Q26" i="80"/>
  <c r="Q27" i="80"/>
  <c r="Q28" i="80"/>
  <c r="Q29" i="80"/>
  <c r="Q30" i="80"/>
  <c r="Q31" i="80"/>
  <c r="Q32" i="80"/>
  <c r="Q33" i="80"/>
  <c r="Q34" i="80"/>
  <c r="Q35" i="80"/>
  <c r="Q36" i="80"/>
  <c r="Q37" i="80"/>
  <c r="Q38" i="80"/>
  <c r="Q39" i="80"/>
  <c r="Q40" i="80"/>
  <c r="Q41" i="80"/>
  <c r="Q42" i="80"/>
  <c r="Q43" i="80"/>
  <c r="Q44" i="80"/>
  <c r="R14" i="80"/>
  <c r="R15" i="80"/>
  <c r="R16" i="80"/>
  <c r="R17" i="80"/>
  <c r="R18" i="80"/>
  <c r="R19" i="80"/>
  <c r="R20" i="80"/>
  <c r="R21" i="80"/>
  <c r="R22" i="80"/>
  <c r="R23" i="80"/>
  <c r="R24" i="80"/>
  <c r="R25" i="80"/>
  <c r="R26" i="80"/>
  <c r="R27" i="80"/>
  <c r="R28" i="80"/>
  <c r="R29" i="80"/>
  <c r="R30" i="80"/>
  <c r="R31" i="80"/>
  <c r="R32" i="80"/>
  <c r="R33" i="80"/>
  <c r="R34" i="80"/>
  <c r="R35" i="80"/>
  <c r="R36" i="80"/>
  <c r="R37" i="80"/>
  <c r="R38" i="80"/>
  <c r="R39" i="80"/>
  <c r="R40" i="80"/>
  <c r="R41" i="80"/>
  <c r="R42" i="80"/>
  <c r="R43" i="80"/>
  <c r="R44" i="80"/>
  <c r="AH14" i="79"/>
  <c r="AH15" i="79"/>
  <c r="AH16" i="79"/>
  <c r="AH17" i="79"/>
  <c r="AH18" i="79"/>
  <c r="AH19" i="79"/>
  <c r="AH20" i="79"/>
  <c r="AH21" i="79"/>
  <c r="AH22" i="79"/>
  <c r="AH23" i="79"/>
  <c r="AH24" i="79"/>
  <c r="AH25" i="79"/>
  <c r="AH26" i="79"/>
  <c r="AH27" i="79"/>
  <c r="AH28" i="79"/>
  <c r="AH29" i="79"/>
  <c r="AH30" i="79"/>
  <c r="AH31" i="79"/>
  <c r="AH32" i="79"/>
  <c r="AH33" i="79"/>
  <c r="AH34" i="79"/>
  <c r="AH35" i="79"/>
  <c r="AH36" i="79"/>
  <c r="AH37" i="79"/>
  <c r="AH38" i="79"/>
  <c r="AH39" i="79"/>
  <c r="AH40" i="79"/>
  <c r="AH41" i="79"/>
  <c r="AH42" i="79"/>
  <c r="AH43" i="79"/>
  <c r="AH44" i="79"/>
  <c r="L63" i="79"/>
  <c r="L62" i="79"/>
  <c r="Q14" i="79"/>
  <c r="Q15" i="79"/>
  <c r="Q16" i="79"/>
  <c r="Q17" i="79"/>
  <c r="Q18" i="79"/>
  <c r="Q19" i="79"/>
  <c r="Q20" i="79"/>
  <c r="Q21" i="79"/>
  <c r="Q22" i="79"/>
  <c r="Q23" i="79"/>
  <c r="Q24" i="79"/>
  <c r="Q25" i="79"/>
  <c r="Q26" i="79"/>
  <c r="Q27" i="79"/>
  <c r="Q28" i="79"/>
  <c r="Q29" i="79"/>
  <c r="Q30" i="79"/>
  <c r="Q31" i="79"/>
  <c r="Q32" i="79"/>
  <c r="Q33" i="79"/>
  <c r="Q34" i="79"/>
  <c r="Q35" i="79"/>
  <c r="Q36" i="79"/>
  <c r="Q37" i="79"/>
  <c r="Q38" i="79"/>
  <c r="Q39" i="79"/>
  <c r="Q40" i="79"/>
  <c r="Q41" i="79"/>
  <c r="Q42" i="79"/>
  <c r="Q43" i="79"/>
  <c r="Q44" i="79"/>
  <c r="R14" i="79"/>
  <c r="R15" i="79"/>
  <c r="R16" i="79"/>
  <c r="R17" i="79"/>
  <c r="R18" i="79"/>
  <c r="R19" i="79"/>
  <c r="R20" i="79"/>
  <c r="R21" i="79"/>
  <c r="R22" i="79"/>
  <c r="R23" i="79"/>
  <c r="R24" i="79"/>
  <c r="R25" i="79"/>
  <c r="R26" i="79"/>
  <c r="R27" i="79"/>
  <c r="R28" i="79"/>
  <c r="R29" i="79"/>
  <c r="R30" i="79"/>
  <c r="R31" i="79"/>
  <c r="R32" i="79"/>
  <c r="R33" i="79"/>
  <c r="R34" i="79"/>
  <c r="R35" i="79"/>
  <c r="R36" i="79"/>
  <c r="R37" i="79"/>
  <c r="R38" i="79"/>
  <c r="R39" i="79"/>
  <c r="R40" i="79"/>
  <c r="R41" i="79"/>
  <c r="R42" i="79"/>
  <c r="R43" i="79"/>
  <c r="R44" i="79"/>
  <c r="AH14" i="78"/>
  <c r="AH15" i="78"/>
  <c r="AH16" i="78"/>
  <c r="AH17" i="78"/>
  <c r="AH18" i="78"/>
  <c r="AH19" i="78"/>
  <c r="AH20" i="78"/>
  <c r="AH21" i="78"/>
  <c r="AH22" i="78"/>
  <c r="AH23" i="78"/>
  <c r="AH24" i="78"/>
  <c r="AH25" i="78"/>
  <c r="AH26" i="78"/>
  <c r="AH27" i="78"/>
  <c r="AH28" i="78"/>
  <c r="AH29" i="78"/>
  <c r="AH30" i="78"/>
  <c r="AH31" i="78"/>
  <c r="AH32" i="78"/>
  <c r="AH33" i="78"/>
  <c r="AH34" i="78"/>
  <c r="AH35" i="78"/>
  <c r="AH36" i="78"/>
  <c r="AH37" i="78"/>
  <c r="AH38" i="78"/>
  <c r="AH39" i="78"/>
  <c r="AH40" i="78"/>
  <c r="AH41" i="78"/>
  <c r="AH42" i="78"/>
  <c r="AH43" i="78"/>
  <c r="AH44" i="78"/>
  <c r="L63" i="78"/>
  <c r="L62" i="78"/>
  <c r="Q14" i="78"/>
  <c r="Q15" i="78"/>
  <c r="Q16" i="78"/>
  <c r="Q17" i="78"/>
  <c r="Q18" i="78"/>
  <c r="Q19" i="78"/>
  <c r="Q20" i="78"/>
  <c r="Q21" i="78"/>
  <c r="Q22" i="78"/>
  <c r="Q23" i="78"/>
  <c r="Q24" i="78"/>
  <c r="Q25" i="78"/>
  <c r="Q26" i="78"/>
  <c r="Q27" i="78"/>
  <c r="Q28" i="78"/>
  <c r="Q29" i="78"/>
  <c r="Q30" i="78"/>
  <c r="Q31" i="78"/>
  <c r="Q32" i="78"/>
  <c r="Q33" i="78"/>
  <c r="Q34" i="78"/>
  <c r="Q35" i="78"/>
  <c r="Q36" i="78"/>
  <c r="Q37" i="78"/>
  <c r="Q38" i="78"/>
  <c r="Q39" i="78"/>
  <c r="Q40" i="78"/>
  <c r="Q41" i="78"/>
  <c r="Q42" i="78"/>
  <c r="Q43" i="78"/>
  <c r="Q44" i="78"/>
  <c r="R14" i="78"/>
  <c r="R15" i="78"/>
  <c r="R16" i="78"/>
  <c r="R17" i="78"/>
  <c r="R18" i="78"/>
  <c r="R19" i="78"/>
  <c r="R20" i="78"/>
  <c r="R21" i="78"/>
  <c r="R22" i="78"/>
  <c r="R23" i="78"/>
  <c r="R24" i="78"/>
  <c r="R25" i="78"/>
  <c r="R26" i="78"/>
  <c r="R27" i="78"/>
  <c r="R28" i="78"/>
  <c r="R29" i="78"/>
  <c r="R30" i="78"/>
  <c r="R31" i="78"/>
  <c r="R32" i="78"/>
  <c r="R33" i="78"/>
  <c r="R34" i="78"/>
  <c r="R35" i="78"/>
  <c r="R36" i="78"/>
  <c r="R37" i="78"/>
  <c r="R38" i="78"/>
  <c r="R39" i="78"/>
  <c r="R40" i="78"/>
  <c r="R41" i="78"/>
  <c r="R42" i="78"/>
  <c r="R43" i="78"/>
  <c r="R44" i="78"/>
  <c r="AH14" i="77"/>
  <c r="AH15" i="77"/>
  <c r="AH16" i="77"/>
  <c r="AH17" i="77"/>
  <c r="AH18" i="77"/>
  <c r="AH19" i="77"/>
  <c r="AH20" i="77"/>
  <c r="AH21" i="77"/>
  <c r="AH22" i="77"/>
  <c r="AH23" i="77"/>
  <c r="AH24" i="77"/>
  <c r="AH25" i="77"/>
  <c r="AH26" i="77"/>
  <c r="AH27" i="77"/>
  <c r="AH28" i="77"/>
  <c r="AH29" i="77"/>
  <c r="AH30" i="77"/>
  <c r="AH31" i="77"/>
  <c r="AH32" i="77"/>
  <c r="AH33" i="77"/>
  <c r="AH34" i="77"/>
  <c r="AH35" i="77"/>
  <c r="AH36" i="77"/>
  <c r="AH37" i="77"/>
  <c r="AH38" i="77"/>
  <c r="AH39" i="77"/>
  <c r="AH40" i="77"/>
  <c r="AH41" i="77"/>
  <c r="AH42" i="77"/>
  <c r="AH43" i="77"/>
  <c r="AH44" i="77"/>
  <c r="L63" i="77"/>
  <c r="L62" i="77"/>
  <c r="Q14" i="77"/>
  <c r="Q15" i="77"/>
  <c r="Q16" i="77"/>
  <c r="Q17" i="77"/>
  <c r="Q18" i="77"/>
  <c r="Q19" i="77"/>
  <c r="Q20" i="77"/>
  <c r="Q21" i="77"/>
  <c r="Q22" i="77"/>
  <c r="Q23" i="77"/>
  <c r="Q24" i="77"/>
  <c r="Q25" i="77"/>
  <c r="Q26" i="77"/>
  <c r="Q27" i="77"/>
  <c r="Q28" i="77"/>
  <c r="Q29" i="77"/>
  <c r="Q30" i="77"/>
  <c r="Q31" i="77"/>
  <c r="Q32" i="77"/>
  <c r="Q33" i="77"/>
  <c r="Q34" i="77"/>
  <c r="Q35" i="77"/>
  <c r="Q36" i="77"/>
  <c r="Q37" i="77"/>
  <c r="Q38" i="77"/>
  <c r="Q39" i="77"/>
  <c r="Q40" i="77"/>
  <c r="Q41" i="77"/>
  <c r="Q42" i="77"/>
  <c r="Q43" i="77"/>
  <c r="Q44" i="77"/>
  <c r="R14" i="77"/>
  <c r="R15" i="77"/>
  <c r="R16" i="77"/>
  <c r="R17" i="77"/>
  <c r="R18" i="77"/>
  <c r="R19" i="77"/>
  <c r="R20" i="77"/>
  <c r="R21" i="77"/>
  <c r="R22" i="77"/>
  <c r="R23" i="77"/>
  <c r="R24" i="77"/>
  <c r="R25" i="77"/>
  <c r="R26" i="77"/>
  <c r="R27" i="77"/>
  <c r="R28" i="77"/>
  <c r="R29" i="77"/>
  <c r="R30" i="77"/>
  <c r="R31" i="77"/>
  <c r="R32" i="77"/>
  <c r="R33" i="77"/>
  <c r="R34" i="77"/>
  <c r="R35" i="77"/>
  <c r="R36" i="77"/>
  <c r="R37" i="77"/>
  <c r="R38" i="77"/>
  <c r="R39" i="77"/>
  <c r="R40" i="77"/>
  <c r="R41" i="77"/>
  <c r="R42" i="77"/>
  <c r="R43" i="77"/>
  <c r="R44" i="77"/>
  <c r="AC14" i="76"/>
  <c r="AC15" i="76"/>
  <c r="AC16" i="76"/>
  <c r="AC17" i="76"/>
  <c r="AC18" i="76"/>
  <c r="AC19" i="76"/>
  <c r="AC20" i="76"/>
  <c r="AC21" i="76"/>
  <c r="AC22" i="76"/>
  <c r="AC23" i="76"/>
  <c r="AC24" i="76"/>
  <c r="AC25" i="76"/>
  <c r="AC26" i="76"/>
  <c r="AC27" i="76"/>
  <c r="AC28" i="76"/>
  <c r="AC29" i="76"/>
  <c r="AC30" i="76"/>
  <c r="AC31" i="76"/>
  <c r="AC32" i="76"/>
  <c r="AC33" i="76"/>
  <c r="AC34" i="76"/>
  <c r="AC35" i="76"/>
  <c r="AC36" i="76"/>
  <c r="AC37" i="76"/>
  <c r="AC38" i="76"/>
  <c r="AC39" i="76"/>
  <c r="AC40" i="76"/>
  <c r="AC41" i="76"/>
  <c r="AC42" i="76"/>
  <c r="AC43" i="76"/>
  <c r="AC44" i="76"/>
  <c r="AC51" i="76"/>
  <c r="AH14" i="76"/>
  <c r="AH15" i="76"/>
  <c r="AH16" i="76"/>
  <c r="AH17" i="76"/>
  <c r="AH18" i="76"/>
  <c r="AH19" i="76"/>
  <c r="AH20" i="76"/>
  <c r="AH21" i="76"/>
  <c r="AH22" i="76"/>
  <c r="AH23" i="76"/>
  <c r="AH24" i="76"/>
  <c r="AH25" i="76"/>
  <c r="AH26" i="76"/>
  <c r="AH27" i="76"/>
  <c r="AH28" i="76"/>
  <c r="AH29" i="76"/>
  <c r="AH30" i="76"/>
  <c r="AH31" i="76"/>
  <c r="AH32" i="76"/>
  <c r="AH33" i="76"/>
  <c r="AH34" i="76"/>
  <c r="AH35" i="76"/>
  <c r="AH36" i="76"/>
  <c r="AH37" i="76"/>
  <c r="AH38" i="76"/>
  <c r="AH39" i="76"/>
  <c r="AH40" i="76"/>
  <c r="AH41" i="76"/>
  <c r="AH42" i="76"/>
  <c r="AH43" i="76"/>
  <c r="AH44" i="76"/>
  <c r="L63" i="76"/>
  <c r="L62" i="76"/>
  <c r="AF15" i="76"/>
  <c r="AG15" i="76"/>
  <c r="AF16" i="76"/>
  <c r="AG16" i="76"/>
  <c r="AF17" i="76"/>
  <c r="AG17" i="76"/>
  <c r="AF18" i="76"/>
  <c r="AG18" i="76"/>
  <c r="AF19" i="76"/>
  <c r="AG19" i="76"/>
  <c r="AF20" i="76"/>
  <c r="AG20" i="76"/>
  <c r="AF21" i="76"/>
  <c r="AG21" i="76"/>
  <c r="AF22" i="76"/>
  <c r="AG22" i="76"/>
  <c r="AF23" i="76"/>
  <c r="AG23" i="76"/>
  <c r="AF24" i="76"/>
  <c r="AG24" i="76"/>
  <c r="AF25" i="76"/>
  <c r="AG25" i="76"/>
  <c r="AF26" i="76"/>
  <c r="AG26" i="76"/>
  <c r="AF27" i="76"/>
  <c r="AG27" i="76"/>
  <c r="AF28" i="76"/>
  <c r="AG28" i="76"/>
  <c r="AF29" i="76"/>
  <c r="AG29" i="76"/>
  <c r="AF30" i="76"/>
  <c r="AG30" i="76"/>
  <c r="AF31" i="76"/>
  <c r="AG31" i="76"/>
  <c r="AF32" i="76"/>
  <c r="AG32" i="76"/>
  <c r="AF33" i="76"/>
  <c r="AG33" i="76"/>
  <c r="AF34" i="76"/>
  <c r="AG34" i="76"/>
  <c r="AF35" i="76"/>
  <c r="AG35" i="76"/>
  <c r="AF36" i="76"/>
  <c r="AG36" i="76"/>
  <c r="AF37" i="76"/>
  <c r="AG37" i="76"/>
  <c r="AF38" i="76"/>
  <c r="AG38" i="76"/>
  <c r="AF39" i="76"/>
  <c r="AG39" i="76"/>
  <c r="AF40" i="76"/>
  <c r="AG40" i="76"/>
  <c r="AF41" i="76"/>
  <c r="AG41" i="76"/>
  <c r="AF42" i="76"/>
  <c r="AG42" i="76"/>
  <c r="AF43" i="76"/>
  <c r="AG43" i="76"/>
  <c r="AF44" i="76"/>
  <c r="AG44" i="76"/>
  <c r="AF14" i="76"/>
  <c r="AG14" i="76"/>
  <c r="B13" i="76"/>
  <c r="H78" i="76"/>
  <c r="H81" i="76"/>
  <c r="H82" i="76"/>
  <c r="H83" i="76"/>
  <c r="H84" i="76"/>
  <c r="H79" i="76"/>
  <c r="H80" i="76"/>
  <c r="H87" i="76"/>
  <c r="H88" i="76"/>
  <c r="H89" i="76"/>
  <c r="H90" i="76"/>
  <c r="H91" i="76"/>
  <c r="H92" i="76"/>
  <c r="H93" i="76"/>
  <c r="H94" i="76"/>
  <c r="H95" i="76"/>
  <c r="H96" i="76"/>
  <c r="H97" i="76"/>
  <c r="H98" i="76"/>
  <c r="H99" i="76"/>
  <c r="H100" i="76"/>
  <c r="H101" i="76"/>
  <c r="H102" i="76"/>
  <c r="H103" i="76"/>
  <c r="H105" i="76"/>
  <c r="H106" i="76"/>
  <c r="H107" i="76"/>
  <c r="H108" i="76"/>
  <c r="H109" i="76"/>
  <c r="H110" i="76"/>
  <c r="H111" i="76"/>
  <c r="Q37" i="76"/>
  <c r="Q14" i="76"/>
  <c r="Q15" i="76"/>
  <c r="Q16" i="76"/>
  <c r="Q17" i="76"/>
  <c r="Q18" i="76"/>
  <c r="Q19" i="76"/>
  <c r="Q20" i="76"/>
  <c r="Q21" i="76"/>
  <c r="Q22" i="76"/>
  <c r="Q23" i="76"/>
  <c r="Q24" i="76"/>
  <c r="Q25" i="76"/>
  <c r="Q26" i="76"/>
  <c r="Q27" i="76"/>
  <c r="Q28" i="76"/>
  <c r="Q29" i="76"/>
  <c r="Q30" i="76"/>
  <c r="Q31" i="76"/>
  <c r="Q32" i="76"/>
  <c r="Q33" i="76"/>
  <c r="Q34" i="76"/>
  <c r="Q35" i="76"/>
  <c r="Q36" i="76"/>
  <c r="Q38" i="76"/>
  <c r="Q39" i="76"/>
  <c r="Q40" i="76"/>
  <c r="Q41" i="76"/>
  <c r="Q42" i="76"/>
  <c r="Q43" i="76"/>
  <c r="Q44" i="76"/>
  <c r="R14" i="76"/>
  <c r="R15" i="76"/>
  <c r="R16" i="76"/>
  <c r="R17" i="76"/>
  <c r="R18" i="76"/>
  <c r="R19" i="76"/>
  <c r="R20" i="76"/>
  <c r="R21" i="76"/>
  <c r="R22" i="76"/>
  <c r="R23" i="76"/>
  <c r="R24" i="76"/>
  <c r="R25" i="76"/>
  <c r="R26" i="76"/>
  <c r="R27" i="76"/>
  <c r="R28" i="76"/>
  <c r="R29" i="76"/>
  <c r="R30" i="76"/>
  <c r="R31" i="76"/>
  <c r="R32" i="76"/>
  <c r="R33" i="76"/>
  <c r="R34" i="76"/>
  <c r="R35" i="76"/>
  <c r="R36" i="76"/>
  <c r="R37" i="76"/>
  <c r="R38" i="76"/>
  <c r="R39" i="76"/>
  <c r="R40" i="76"/>
  <c r="R41" i="76"/>
  <c r="R42" i="76"/>
  <c r="R43" i="76"/>
  <c r="R44" i="76"/>
  <c r="K57" i="76"/>
  <c r="L58" i="76"/>
  <c r="G53" i="76"/>
  <c r="G52" i="76"/>
  <c r="AC14" i="86"/>
  <c r="AC15" i="86"/>
  <c r="AC16" i="86"/>
  <c r="AC17" i="86"/>
  <c r="AC18" i="86"/>
  <c r="AC19" i="86"/>
  <c r="AC20" i="86"/>
  <c r="AC21" i="86"/>
  <c r="AC22" i="86"/>
  <c r="AC23" i="86"/>
  <c r="AC24" i="86"/>
  <c r="AC25" i="86"/>
  <c r="AC26" i="86"/>
  <c r="AC27" i="86"/>
  <c r="AC28" i="86"/>
  <c r="AC29" i="86"/>
  <c r="AC30" i="86"/>
  <c r="AC31" i="86"/>
  <c r="AC32" i="86"/>
  <c r="AC33" i="86"/>
  <c r="AC34" i="86"/>
  <c r="AC35" i="86"/>
  <c r="AC36" i="86"/>
  <c r="AC37" i="86"/>
  <c r="AC38" i="86"/>
  <c r="AC39" i="86"/>
  <c r="AC40" i="86"/>
  <c r="AC41" i="86"/>
  <c r="AC42" i="86"/>
  <c r="AC43" i="86"/>
  <c r="AC44" i="86"/>
  <c r="AC51" i="86"/>
  <c r="AD14" i="86"/>
  <c r="AD15" i="86"/>
  <c r="AD16" i="86"/>
  <c r="AD17" i="86"/>
  <c r="AD18" i="86"/>
  <c r="AD19" i="86"/>
  <c r="AD20" i="86"/>
  <c r="AD21" i="86"/>
  <c r="AD22" i="86"/>
  <c r="AD23" i="86"/>
  <c r="AD24" i="86"/>
  <c r="AD25" i="86"/>
  <c r="AD26" i="86"/>
  <c r="AD27" i="86"/>
  <c r="AD28" i="86"/>
  <c r="AD29" i="86"/>
  <c r="AD30" i="86"/>
  <c r="AD31" i="86"/>
  <c r="AD32" i="86"/>
  <c r="AD33" i="86"/>
  <c r="AD34" i="86"/>
  <c r="AD35" i="86"/>
  <c r="AD36" i="86"/>
  <c r="AD37" i="86"/>
  <c r="AD38" i="86"/>
  <c r="AD39" i="86"/>
  <c r="AD40" i="86"/>
  <c r="AD41" i="86"/>
  <c r="AD42" i="86"/>
  <c r="AD43" i="86"/>
  <c r="AD44" i="86"/>
  <c r="AD51" i="86"/>
  <c r="Q43" i="75"/>
  <c r="Q42" i="75"/>
  <c r="Q41" i="75"/>
  <c r="Q40" i="75"/>
  <c r="Q39" i="75"/>
  <c r="Q38" i="75"/>
  <c r="Q37" i="75"/>
  <c r="Q36" i="75"/>
  <c r="Q35" i="75"/>
  <c r="Q34" i="75"/>
  <c r="Q33" i="75"/>
  <c r="Q32" i="75"/>
  <c r="Q31" i="75"/>
  <c r="Q30" i="75"/>
  <c r="Q29" i="75"/>
  <c r="Q28" i="75"/>
  <c r="Q27" i="75"/>
  <c r="Q26" i="75"/>
  <c r="Q25" i="75"/>
  <c r="Q24" i="75"/>
  <c r="Q23" i="75"/>
  <c r="Q22" i="75"/>
  <c r="Q21" i="75"/>
  <c r="Q20" i="75"/>
  <c r="Q19" i="75"/>
  <c r="Q18" i="75"/>
  <c r="Q17" i="75"/>
  <c r="Q16" i="75"/>
  <c r="Q15" i="75"/>
  <c r="Q14" i="75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14" i="86"/>
  <c r="R14" i="75"/>
  <c r="R15" i="75"/>
  <c r="R16" i="75"/>
  <c r="R17" i="75"/>
  <c r="AH14" i="75"/>
  <c r="AH15" i="75"/>
  <c r="AH16" i="75"/>
  <c r="AH17" i="75"/>
  <c r="AH18" i="75"/>
  <c r="AH19" i="75"/>
  <c r="AH20" i="75"/>
  <c r="AH21" i="75"/>
  <c r="AH22" i="75"/>
  <c r="AH23" i="75"/>
  <c r="AH24" i="75"/>
  <c r="AH25" i="75"/>
  <c r="AH26" i="75"/>
  <c r="AH27" i="75"/>
  <c r="AH28" i="75"/>
  <c r="AH29" i="75"/>
  <c r="AH30" i="75"/>
  <c r="AH31" i="75"/>
  <c r="AH32" i="75"/>
  <c r="AH33" i="75"/>
  <c r="AH34" i="75"/>
  <c r="AH35" i="75"/>
  <c r="AH36" i="75"/>
  <c r="AH37" i="75"/>
  <c r="AH38" i="75"/>
  <c r="AH39" i="75"/>
  <c r="AH40" i="75"/>
  <c r="AH41" i="75"/>
  <c r="AH42" i="75"/>
  <c r="AH43" i="75"/>
  <c r="R18" i="75"/>
  <c r="R19" i="75"/>
  <c r="R20" i="75"/>
  <c r="R21" i="75"/>
  <c r="R22" i="75"/>
  <c r="R23" i="75"/>
  <c r="R24" i="75"/>
  <c r="R25" i="75"/>
  <c r="R26" i="75"/>
  <c r="R27" i="75"/>
  <c r="R28" i="75"/>
  <c r="R29" i="75"/>
  <c r="R30" i="75"/>
  <c r="R31" i="75"/>
  <c r="R32" i="75"/>
  <c r="R33" i="75"/>
  <c r="R34" i="75"/>
  <c r="R35" i="75"/>
  <c r="R36" i="75"/>
  <c r="R37" i="75"/>
  <c r="R38" i="75"/>
  <c r="R39" i="75"/>
  <c r="R40" i="75"/>
  <c r="R41" i="75"/>
  <c r="R42" i="75"/>
  <c r="R43" i="75"/>
  <c r="R21" i="86"/>
  <c r="R14" i="86"/>
  <c r="R15" i="86"/>
  <c r="R16" i="86"/>
  <c r="R17" i="86"/>
  <c r="AH14" i="86"/>
  <c r="AH15" i="86"/>
  <c r="AH16" i="86"/>
  <c r="AH17" i="86"/>
  <c r="AH18" i="86"/>
  <c r="AH19" i="86"/>
  <c r="AH20" i="86"/>
  <c r="AH21" i="86"/>
  <c r="AH22" i="86"/>
  <c r="AH23" i="86"/>
  <c r="AH24" i="86"/>
  <c r="AH25" i="86"/>
  <c r="AH26" i="86"/>
  <c r="AH27" i="86"/>
  <c r="AH28" i="86"/>
  <c r="AH29" i="86"/>
  <c r="AH30" i="86"/>
  <c r="AH31" i="86"/>
  <c r="AH32" i="86"/>
  <c r="AH33" i="86"/>
  <c r="AH34" i="86"/>
  <c r="AH35" i="86"/>
  <c r="AH36" i="86"/>
  <c r="AH37" i="86"/>
  <c r="AH38" i="86"/>
  <c r="AH39" i="86"/>
  <c r="AH40" i="86"/>
  <c r="AH41" i="86"/>
  <c r="AH42" i="86"/>
  <c r="AH43" i="86"/>
  <c r="AH44" i="86"/>
  <c r="R18" i="86"/>
  <c r="R19" i="86"/>
  <c r="R20" i="86"/>
  <c r="R22" i="86"/>
  <c r="R23" i="86"/>
  <c r="R24" i="86"/>
  <c r="R25" i="86"/>
  <c r="R26" i="86"/>
  <c r="R27" i="86"/>
  <c r="R28" i="86"/>
  <c r="R29" i="86"/>
  <c r="R30" i="86"/>
  <c r="R31" i="86"/>
  <c r="R32" i="86"/>
  <c r="R33" i="86"/>
  <c r="R34" i="86"/>
  <c r="R35" i="86"/>
  <c r="R36" i="86"/>
  <c r="R37" i="86"/>
  <c r="R38" i="86"/>
  <c r="R39" i="86"/>
  <c r="R40" i="86"/>
  <c r="R41" i="86"/>
  <c r="R42" i="86"/>
  <c r="R43" i="86"/>
  <c r="R44" i="86"/>
  <c r="H98" i="86"/>
  <c r="J45" i="86"/>
  <c r="P61" i="86"/>
  <c r="J42" i="73"/>
  <c r="J45" i="76"/>
  <c r="J44" i="75"/>
  <c r="J45" i="77"/>
  <c r="J44" i="82"/>
  <c r="J45" i="78"/>
  <c r="J45" i="79"/>
  <c r="J44" i="83"/>
  <c r="J45" i="80"/>
  <c r="J44" i="84"/>
  <c r="J45" i="81"/>
  <c r="J45" i="87"/>
  <c r="F82" i="3"/>
  <c r="F86" i="3"/>
  <c r="F85" i="3"/>
  <c r="A45" i="87"/>
  <c r="A45" i="81"/>
  <c r="A44" i="84"/>
  <c r="A45" i="80"/>
  <c r="A44" i="83"/>
  <c r="A45" i="79"/>
  <c r="A45" i="78"/>
  <c r="A44" i="82"/>
  <c r="A45" i="77"/>
  <c r="A44" i="75"/>
  <c r="A45" i="76"/>
  <c r="A42" i="73"/>
  <c r="A45" i="86"/>
  <c r="AC14" i="84"/>
  <c r="AC15" i="84"/>
  <c r="AC16" i="84"/>
  <c r="AC17" i="84"/>
  <c r="AC18" i="84"/>
  <c r="AC19" i="84"/>
  <c r="AC20" i="84"/>
  <c r="AC21" i="84"/>
  <c r="AC22" i="84"/>
  <c r="AC23" i="84"/>
  <c r="AC24" i="84"/>
  <c r="AC25" i="84"/>
  <c r="AC26" i="84"/>
  <c r="AC27" i="84"/>
  <c r="AC28" i="84"/>
  <c r="AC29" i="84"/>
  <c r="AC30" i="84"/>
  <c r="AC31" i="84"/>
  <c r="AC32" i="84"/>
  <c r="AC33" i="84"/>
  <c r="AC34" i="84"/>
  <c r="AC35" i="84"/>
  <c r="AC36" i="84"/>
  <c r="AC37" i="84"/>
  <c r="AC38" i="84"/>
  <c r="AC39" i="84"/>
  <c r="AC40" i="84"/>
  <c r="AC41" i="84"/>
  <c r="AC42" i="84"/>
  <c r="AC43" i="84"/>
  <c r="AC51" i="84"/>
  <c r="AC14" i="83"/>
  <c r="AC15" i="83"/>
  <c r="AC16" i="83"/>
  <c r="AC17" i="83"/>
  <c r="AC18" i="83"/>
  <c r="AC19" i="83"/>
  <c r="AC20" i="83"/>
  <c r="AC21" i="83"/>
  <c r="AC22" i="83"/>
  <c r="AC23" i="83"/>
  <c r="AC24" i="83"/>
  <c r="AC25" i="83"/>
  <c r="AC26" i="83"/>
  <c r="AC27" i="83"/>
  <c r="AC28" i="83"/>
  <c r="AC29" i="83"/>
  <c r="AC30" i="83"/>
  <c r="AC31" i="83"/>
  <c r="AC32" i="83"/>
  <c r="AC33" i="83"/>
  <c r="AC34" i="83"/>
  <c r="AC35" i="83"/>
  <c r="AC36" i="83"/>
  <c r="AC37" i="83"/>
  <c r="AC38" i="83"/>
  <c r="AC39" i="83"/>
  <c r="AC40" i="83"/>
  <c r="AC41" i="83"/>
  <c r="AC42" i="83"/>
  <c r="AC43" i="83"/>
  <c r="AC51" i="83"/>
  <c r="AC14" i="82"/>
  <c r="AC15" i="82"/>
  <c r="AC16" i="82"/>
  <c r="AC17" i="82"/>
  <c r="AC18" i="82"/>
  <c r="AC19" i="82"/>
  <c r="AC20" i="82"/>
  <c r="AC21" i="82"/>
  <c r="AC22" i="82"/>
  <c r="AC23" i="82"/>
  <c r="AC24" i="82"/>
  <c r="AC25" i="82"/>
  <c r="AC26" i="82"/>
  <c r="AC27" i="82"/>
  <c r="AC28" i="82"/>
  <c r="AC29" i="82"/>
  <c r="AC30" i="82"/>
  <c r="AC31" i="82"/>
  <c r="AC32" i="82"/>
  <c r="AC33" i="82"/>
  <c r="AC34" i="82"/>
  <c r="AC35" i="82"/>
  <c r="AC36" i="82"/>
  <c r="AC37" i="82"/>
  <c r="AC38" i="82"/>
  <c r="AC39" i="82"/>
  <c r="AC40" i="82"/>
  <c r="AC41" i="82"/>
  <c r="AC42" i="82"/>
  <c r="AC43" i="82"/>
  <c r="AC51" i="82"/>
  <c r="AC14" i="75"/>
  <c r="AC15" i="75"/>
  <c r="AC16" i="75"/>
  <c r="AC17" i="75"/>
  <c r="AC18" i="75"/>
  <c r="AC19" i="75"/>
  <c r="AC20" i="75"/>
  <c r="AC21" i="75"/>
  <c r="AC22" i="75"/>
  <c r="AC23" i="75"/>
  <c r="AC24" i="75"/>
  <c r="AC25" i="75"/>
  <c r="AC26" i="75"/>
  <c r="AC27" i="75"/>
  <c r="AC28" i="75"/>
  <c r="AC29" i="75"/>
  <c r="AC30" i="75"/>
  <c r="AC31" i="75"/>
  <c r="AC32" i="75"/>
  <c r="AC33" i="75"/>
  <c r="AC34" i="75"/>
  <c r="AC35" i="75"/>
  <c r="AC36" i="75"/>
  <c r="AC37" i="75"/>
  <c r="AC38" i="75"/>
  <c r="AC39" i="75"/>
  <c r="AC40" i="75"/>
  <c r="AC41" i="75"/>
  <c r="AC42" i="75"/>
  <c r="AC43" i="75"/>
  <c r="AC51" i="75"/>
  <c r="AC14" i="73"/>
  <c r="AC15" i="73"/>
  <c r="AC16" i="73"/>
  <c r="AC17" i="73"/>
  <c r="AC18" i="73"/>
  <c r="AC19" i="73"/>
  <c r="AC20" i="73"/>
  <c r="AC21" i="73"/>
  <c r="AC22" i="73"/>
  <c r="AC23" i="73"/>
  <c r="AC24" i="73"/>
  <c r="AC25" i="73"/>
  <c r="AC26" i="73"/>
  <c r="AC27" i="73"/>
  <c r="AC28" i="73"/>
  <c r="AC29" i="73"/>
  <c r="AC30" i="73"/>
  <c r="AC31" i="73"/>
  <c r="AC32" i="73"/>
  <c r="AC33" i="73"/>
  <c r="AC34" i="73"/>
  <c r="AC35" i="73"/>
  <c r="AC36" i="73"/>
  <c r="AC37" i="73"/>
  <c r="AC38" i="73"/>
  <c r="AC39" i="73"/>
  <c r="AC40" i="73"/>
  <c r="AC41" i="73"/>
  <c r="AC51" i="73"/>
  <c r="AC14" i="87"/>
  <c r="AC15" i="87"/>
  <c r="AC16" i="87"/>
  <c r="AC17" i="87"/>
  <c r="AC18" i="87"/>
  <c r="AC19" i="87"/>
  <c r="AC20" i="87"/>
  <c r="AC21" i="87"/>
  <c r="AC22" i="87"/>
  <c r="AC23" i="87"/>
  <c r="AC24" i="87"/>
  <c r="AC25" i="87"/>
  <c r="AC26" i="87"/>
  <c r="AC27" i="87"/>
  <c r="AC28" i="87"/>
  <c r="AC29" i="87"/>
  <c r="AC30" i="87"/>
  <c r="AC31" i="87"/>
  <c r="AC32" i="87"/>
  <c r="AC33" i="87"/>
  <c r="AC34" i="87"/>
  <c r="AC35" i="87"/>
  <c r="AC36" i="87"/>
  <c r="AC37" i="87"/>
  <c r="AC38" i="87"/>
  <c r="AC39" i="87"/>
  <c r="AC40" i="87"/>
  <c r="AC41" i="87"/>
  <c r="AC42" i="87"/>
  <c r="AC43" i="87"/>
  <c r="AC44" i="87"/>
  <c r="AC51" i="87"/>
  <c r="AC14" i="81"/>
  <c r="AC15" i="81"/>
  <c r="AC16" i="81"/>
  <c r="AC17" i="81"/>
  <c r="AC18" i="81"/>
  <c r="AC19" i="81"/>
  <c r="AC20" i="81"/>
  <c r="AC21" i="81"/>
  <c r="AC22" i="81"/>
  <c r="AC23" i="81"/>
  <c r="AC24" i="81"/>
  <c r="AC25" i="81"/>
  <c r="AC26" i="81"/>
  <c r="AC27" i="81"/>
  <c r="AC28" i="81"/>
  <c r="AC29" i="81"/>
  <c r="AC30" i="81"/>
  <c r="AC31" i="81"/>
  <c r="AC32" i="81"/>
  <c r="AC33" i="81"/>
  <c r="AC34" i="81"/>
  <c r="AC35" i="81"/>
  <c r="AC36" i="81"/>
  <c r="AC37" i="81"/>
  <c r="AC38" i="81"/>
  <c r="AC39" i="81"/>
  <c r="AC40" i="81"/>
  <c r="AC41" i="81"/>
  <c r="AC42" i="81"/>
  <c r="AC43" i="81"/>
  <c r="AC44" i="81"/>
  <c r="AC51" i="81"/>
  <c r="AC14" i="80"/>
  <c r="AC15" i="80"/>
  <c r="AC16" i="80"/>
  <c r="AC17" i="80"/>
  <c r="AC18" i="80"/>
  <c r="AC19" i="80"/>
  <c r="AC20" i="80"/>
  <c r="AC21" i="80"/>
  <c r="AC22" i="80"/>
  <c r="AC23" i="80"/>
  <c r="AC24" i="80"/>
  <c r="AC25" i="80"/>
  <c r="AC26" i="80"/>
  <c r="AC27" i="80"/>
  <c r="AC28" i="80"/>
  <c r="AC29" i="80"/>
  <c r="AC30" i="80"/>
  <c r="AC31" i="80"/>
  <c r="AC32" i="80"/>
  <c r="AC33" i="80"/>
  <c r="AC34" i="80"/>
  <c r="AC35" i="80"/>
  <c r="AC36" i="80"/>
  <c r="AC37" i="80"/>
  <c r="AC38" i="80"/>
  <c r="AC39" i="80"/>
  <c r="AC40" i="80"/>
  <c r="AC41" i="80"/>
  <c r="AC42" i="80"/>
  <c r="AC43" i="80"/>
  <c r="AC44" i="80"/>
  <c r="AC51" i="80"/>
  <c r="AC14" i="79"/>
  <c r="AC15" i="79"/>
  <c r="AC16" i="79"/>
  <c r="AC17" i="79"/>
  <c r="AC18" i="79"/>
  <c r="AC19" i="79"/>
  <c r="AC20" i="79"/>
  <c r="AC21" i="79"/>
  <c r="AC22" i="79"/>
  <c r="AC23" i="79"/>
  <c r="AC24" i="79"/>
  <c r="AC25" i="79"/>
  <c r="AC26" i="79"/>
  <c r="AC27" i="79"/>
  <c r="AC28" i="79"/>
  <c r="AC29" i="79"/>
  <c r="AC30" i="79"/>
  <c r="AC31" i="79"/>
  <c r="AC32" i="79"/>
  <c r="AC33" i="79"/>
  <c r="AC34" i="79"/>
  <c r="AC35" i="79"/>
  <c r="AC36" i="79"/>
  <c r="AC37" i="79"/>
  <c r="AC38" i="79"/>
  <c r="AC39" i="79"/>
  <c r="AC40" i="79"/>
  <c r="AC41" i="79"/>
  <c r="AC42" i="79"/>
  <c r="AC43" i="79"/>
  <c r="AC44" i="79"/>
  <c r="AC51" i="79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26" i="78"/>
  <c r="AC27" i="78"/>
  <c r="AC28" i="78"/>
  <c r="AC29" i="78"/>
  <c r="AC30" i="78"/>
  <c r="AC31" i="78"/>
  <c r="AC32" i="78"/>
  <c r="AC33" i="78"/>
  <c r="AC34" i="78"/>
  <c r="AC35" i="78"/>
  <c r="AC36" i="78"/>
  <c r="AC37" i="78"/>
  <c r="AC38" i="78"/>
  <c r="AC39" i="78"/>
  <c r="AC40" i="78"/>
  <c r="AC41" i="78"/>
  <c r="AC42" i="78"/>
  <c r="AC43" i="78"/>
  <c r="AC44" i="78"/>
  <c r="AC51" i="78"/>
  <c r="AC14" i="77"/>
  <c r="AC15" i="77"/>
  <c r="AC16" i="77"/>
  <c r="AC17" i="77"/>
  <c r="AC18" i="77"/>
  <c r="AC19" i="77"/>
  <c r="AC20" i="77"/>
  <c r="AC21" i="77"/>
  <c r="AC22" i="77"/>
  <c r="AC23" i="77"/>
  <c r="AC24" i="77"/>
  <c r="AC25" i="77"/>
  <c r="AC26" i="77"/>
  <c r="AC27" i="77"/>
  <c r="AC28" i="77"/>
  <c r="AC29" i="77"/>
  <c r="AC30" i="77"/>
  <c r="AC31" i="77"/>
  <c r="AC32" i="77"/>
  <c r="AC33" i="77"/>
  <c r="AC34" i="77"/>
  <c r="AC35" i="77"/>
  <c r="AC36" i="77"/>
  <c r="AC37" i="77"/>
  <c r="AC38" i="77"/>
  <c r="AC39" i="77"/>
  <c r="AC40" i="77"/>
  <c r="AC41" i="77"/>
  <c r="AC42" i="77"/>
  <c r="AC43" i="77"/>
  <c r="AC44" i="77"/>
  <c r="AC51" i="77"/>
  <c r="M13" i="86"/>
  <c r="L13" i="86"/>
  <c r="B61" i="83"/>
  <c r="B61" i="82"/>
  <c r="B61" i="77"/>
  <c r="B61" i="75"/>
  <c r="B61" i="73"/>
  <c r="F65" i="89" s="1"/>
  <c r="B61" i="87"/>
  <c r="B61" i="81"/>
  <c r="B61" i="80"/>
  <c r="B61" i="79"/>
  <c r="B61" i="78"/>
  <c r="B61" i="76"/>
  <c r="B61" i="86"/>
  <c r="F84" i="3"/>
  <c r="Z15" i="73"/>
  <c r="Z16" i="73"/>
  <c r="Z17" i="73"/>
  <c r="Z18" i="73"/>
  <c r="Z19" i="73"/>
  <c r="Z20" i="73"/>
  <c r="Z21" i="73"/>
  <c r="Z22" i="73"/>
  <c r="Z23" i="73"/>
  <c r="Z24" i="73"/>
  <c r="Z25" i="73"/>
  <c r="Z26" i="73"/>
  <c r="Z27" i="73"/>
  <c r="Z28" i="73"/>
  <c r="Z29" i="73"/>
  <c r="Z30" i="73"/>
  <c r="Z31" i="73"/>
  <c r="Z32" i="73"/>
  <c r="Z33" i="73"/>
  <c r="Z34" i="73"/>
  <c r="Z35" i="73"/>
  <c r="Z36" i="73"/>
  <c r="Z37" i="73"/>
  <c r="Z38" i="73"/>
  <c r="Z39" i="73"/>
  <c r="Z40" i="73"/>
  <c r="Z41" i="73"/>
  <c r="L62" i="73"/>
  <c r="L63" i="73"/>
  <c r="L63" i="86"/>
  <c r="L63" i="75"/>
  <c r="P79" i="81"/>
  <c r="L62" i="86"/>
  <c r="L62" i="75"/>
  <c r="P78" i="81"/>
  <c r="N76" i="81"/>
  <c r="AG14" i="86"/>
  <c r="B13" i="86"/>
  <c r="B56" i="73"/>
  <c r="B54" i="73"/>
  <c r="B53" i="73"/>
  <c r="B52" i="73"/>
  <c r="F58" i="89" s="1"/>
  <c r="B51" i="73"/>
  <c r="B56" i="84"/>
  <c r="B54" i="84"/>
  <c r="B53" i="84"/>
  <c r="B52" i="84"/>
  <c r="B51" i="84"/>
  <c r="B56" i="83"/>
  <c r="B54" i="83"/>
  <c r="B53" i="83"/>
  <c r="B52" i="83"/>
  <c r="B51" i="83"/>
  <c r="B56" i="82"/>
  <c r="B54" i="82"/>
  <c r="B53" i="82"/>
  <c r="B52" i="82"/>
  <c r="B51" i="82"/>
  <c r="B56" i="75"/>
  <c r="B54" i="75"/>
  <c r="B53" i="75"/>
  <c r="B52" i="75"/>
  <c r="B51" i="75"/>
  <c r="B56" i="87"/>
  <c r="B54" i="87"/>
  <c r="B53" i="87"/>
  <c r="B52" i="87"/>
  <c r="B51" i="87"/>
  <c r="B56" i="81"/>
  <c r="B54" i="81"/>
  <c r="B53" i="81"/>
  <c r="B52" i="81"/>
  <c r="B51" i="81"/>
  <c r="B56" i="80"/>
  <c r="B54" i="80"/>
  <c r="B53" i="80"/>
  <c r="B52" i="80"/>
  <c r="B51" i="80"/>
  <c r="B56" i="79"/>
  <c r="B54" i="79"/>
  <c r="B53" i="79"/>
  <c r="B52" i="79"/>
  <c r="B51" i="79"/>
  <c r="B56" i="78"/>
  <c r="B54" i="78"/>
  <c r="B53" i="78"/>
  <c r="B52" i="78"/>
  <c r="B51" i="78"/>
  <c r="B56" i="77"/>
  <c r="B54" i="77"/>
  <c r="B53" i="77"/>
  <c r="B52" i="77"/>
  <c r="B51" i="77"/>
  <c r="B56" i="76"/>
  <c r="B54" i="76"/>
  <c r="B53" i="76"/>
  <c r="B52" i="76"/>
  <c r="B51" i="76"/>
  <c r="B56" i="86"/>
  <c r="B54" i="86"/>
  <c r="B53" i="86"/>
  <c r="B52" i="86"/>
  <c r="B51" i="86"/>
  <c r="N73" i="81"/>
  <c r="B61" i="84"/>
  <c r="D60" i="84"/>
  <c r="B60" i="84"/>
  <c r="B57" i="84"/>
  <c r="D60" i="83"/>
  <c r="B60" i="83"/>
  <c r="B57" i="83"/>
  <c r="D60" i="82"/>
  <c r="B60" i="82"/>
  <c r="B57" i="82"/>
  <c r="D60" i="87"/>
  <c r="B60" i="87"/>
  <c r="B57" i="87"/>
  <c r="D60" i="81"/>
  <c r="B60" i="81"/>
  <c r="B57" i="81"/>
  <c r="D60" i="80"/>
  <c r="B60" i="80"/>
  <c r="B57" i="80"/>
  <c r="D60" i="79"/>
  <c r="B60" i="79"/>
  <c r="B57" i="79"/>
  <c r="D60" i="78"/>
  <c r="B60" i="78"/>
  <c r="B57" i="78"/>
  <c r="D60" i="77"/>
  <c r="B60" i="77"/>
  <c r="B57" i="77"/>
  <c r="D60" i="76"/>
  <c r="B60" i="76"/>
  <c r="B57" i="76"/>
  <c r="B57" i="73"/>
  <c r="P71" i="83" s="1"/>
  <c r="P72" i="81"/>
  <c r="B57" i="86"/>
  <c r="B57" i="75"/>
  <c r="P71" i="81"/>
  <c r="P70" i="81"/>
  <c r="P72" i="84"/>
  <c r="P70" i="84"/>
  <c r="P72" i="80"/>
  <c r="P71" i="80"/>
  <c r="P70" i="80"/>
  <c r="P72" i="83"/>
  <c r="P70" i="83"/>
  <c r="P72" i="79"/>
  <c r="P71" i="79"/>
  <c r="P70" i="79"/>
  <c r="P72" i="78"/>
  <c r="P71" i="78"/>
  <c r="P70" i="78"/>
  <c r="P72" i="82"/>
  <c r="P71" i="82"/>
  <c r="P70" i="82"/>
  <c r="P72" i="77"/>
  <c r="P70" i="77"/>
  <c r="P72" i="75"/>
  <c r="P71" i="75"/>
  <c r="P70" i="75"/>
  <c r="P72" i="76"/>
  <c r="P70" i="76"/>
  <c r="P72" i="73"/>
  <c r="P71" i="73"/>
  <c r="P70" i="73"/>
  <c r="P72" i="86"/>
  <c r="P71" i="86"/>
  <c r="P70" i="86"/>
  <c r="B48" i="87"/>
  <c r="B48" i="81"/>
  <c r="B47" i="84"/>
  <c r="B48" i="80"/>
  <c r="B47" i="83"/>
  <c r="B48" i="79"/>
  <c r="B48" i="78"/>
  <c r="B47" i="82"/>
  <c r="B48" i="77"/>
  <c r="B48" i="76"/>
  <c r="B45" i="73"/>
  <c r="B48" i="86"/>
  <c r="B47" i="75"/>
  <c r="P66" i="73"/>
  <c r="P69" i="86"/>
  <c r="N58" i="87"/>
  <c r="N58" i="81"/>
  <c r="N58" i="84"/>
  <c r="N58" i="80"/>
  <c r="N58" i="83"/>
  <c r="N58" i="79"/>
  <c r="N58" i="78"/>
  <c r="N58" i="82"/>
  <c r="N58" i="77"/>
  <c r="N58" i="75"/>
  <c r="N58" i="76"/>
  <c r="N58" i="73"/>
  <c r="N58" i="86"/>
  <c r="P56" i="81"/>
  <c r="P54" i="81"/>
  <c r="P52" i="81"/>
  <c r="P56" i="84"/>
  <c r="P54" i="84"/>
  <c r="P52" i="84"/>
  <c r="P56" i="80"/>
  <c r="P54" i="80"/>
  <c r="P52" i="80"/>
  <c r="P56" i="83"/>
  <c r="P54" i="83"/>
  <c r="P52" i="83"/>
  <c r="P56" i="79"/>
  <c r="P54" i="79"/>
  <c r="P52" i="79"/>
  <c r="P56" i="78"/>
  <c r="P54" i="78"/>
  <c r="P52" i="78"/>
  <c r="P56" i="82"/>
  <c r="P54" i="82"/>
  <c r="P52" i="82"/>
  <c r="P56" i="77"/>
  <c r="P54" i="77"/>
  <c r="P52" i="77"/>
  <c r="P56" i="75"/>
  <c r="P54" i="75"/>
  <c r="P52" i="75"/>
  <c r="P56" i="76"/>
  <c r="P54" i="76"/>
  <c r="P52" i="76"/>
  <c r="P56" i="73"/>
  <c r="P54" i="73"/>
  <c r="P52" i="73"/>
  <c r="N50" i="86"/>
  <c r="D31" i="89"/>
  <c r="B56" i="89"/>
  <c r="B66" i="89"/>
  <c r="C8" i="89"/>
  <c r="F3" i="16"/>
  <c r="F6" i="87"/>
  <c r="B6" i="87"/>
  <c r="F6" i="81"/>
  <c r="B6" i="81"/>
  <c r="F6" i="84"/>
  <c r="B6" i="84"/>
  <c r="F6" i="80"/>
  <c r="B6" i="80"/>
  <c r="F6" i="83"/>
  <c r="B6" i="83"/>
  <c r="F6" i="79"/>
  <c r="B6" i="79"/>
  <c r="F6" i="78"/>
  <c r="B6" i="78"/>
  <c r="F6" i="82"/>
  <c r="B6" i="82"/>
  <c r="F6" i="77"/>
  <c r="B6" i="77"/>
  <c r="F6" i="75"/>
  <c r="B6" i="75"/>
  <c r="F6" i="76"/>
  <c r="B6" i="76"/>
  <c r="F6" i="73"/>
  <c r="B6" i="73"/>
  <c r="F6" i="86"/>
  <c r="B6" i="86"/>
  <c r="B12" i="89"/>
  <c r="B3" i="16"/>
  <c r="B10" i="89"/>
  <c r="D60" i="75"/>
  <c r="B60" i="75"/>
  <c r="D60" i="73"/>
  <c r="B60" i="73"/>
  <c r="F75" i="89"/>
  <c r="F74" i="89"/>
  <c r="F73" i="89"/>
  <c r="F72" i="89"/>
  <c r="F71" i="89"/>
  <c r="F70" i="89"/>
  <c r="F69" i="89"/>
  <c r="F64" i="89"/>
  <c r="F63" i="89"/>
  <c r="F62" i="89"/>
  <c r="F61" i="89"/>
  <c r="F60" i="89"/>
  <c r="F59" i="89"/>
  <c r="D65" i="89"/>
  <c r="B60" i="86"/>
  <c r="D64" i="89"/>
  <c r="D63" i="89"/>
  <c r="D62" i="89"/>
  <c r="D61" i="89"/>
  <c r="D60" i="89"/>
  <c r="D59" i="89"/>
  <c r="D60" i="86"/>
  <c r="N64" i="81"/>
  <c r="N64" i="84"/>
  <c r="N64" i="80"/>
  <c r="N64" i="83"/>
  <c r="N64" i="79"/>
  <c r="N64" i="78"/>
  <c r="N64" i="82"/>
  <c r="N64" i="77"/>
  <c r="N64" i="75"/>
  <c r="N64" i="76"/>
  <c r="N64" i="73"/>
  <c r="N64" i="86"/>
  <c r="F68" i="89"/>
  <c r="F67" i="89"/>
  <c r="F57" i="89"/>
  <c r="D57" i="89"/>
  <c r="N50" i="87"/>
  <c r="N50" i="81"/>
  <c r="N50" i="84"/>
  <c r="N50" i="80"/>
  <c r="N50" i="83"/>
  <c r="N50" i="79"/>
  <c r="N50" i="78"/>
  <c r="N50" i="82"/>
  <c r="N50" i="77"/>
  <c r="N50" i="75"/>
  <c r="N50" i="76"/>
  <c r="N50" i="73"/>
  <c r="P56" i="86"/>
  <c r="P54" i="86"/>
  <c r="P52" i="86"/>
  <c r="Q47" i="84"/>
  <c r="Q47" i="83"/>
  <c r="Q47" i="82"/>
  <c r="Q47" i="75"/>
  <c r="Q45" i="73"/>
  <c r="Q48" i="87"/>
  <c r="Q48" i="81"/>
  <c r="Q48" i="80"/>
  <c r="Q48" i="79"/>
  <c r="Q48" i="78"/>
  <c r="Q48" i="77"/>
  <c r="Q48" i="76"/>
  <c r="Q48" i="86"/>
  <c r="C31" i="89"/>
  <c r="D26" i="89"/>
  <c r="D20" i="89"/>
  <c r="Z44" i="87"/>
  <c r="Z43" i="87"/>
  <c r="Z42" i="87"/>
  <c r="Z41" i="87"/>
  <c r="Z40" i="87"/>
  <c r="Z39" i="87"/>
  <c r="Z38" i="87"/>
  <c r="Z37" i="87"/>
  <c r="Z36" i="87"/>
  <c r="Z35" i="87"/>
  <c r="Z34" i="87"/>
  <c r="Z33" i="87"/>
  <c r="Z32" i="87"/>
  <c r="Z31" i="87"/>
  <c r="Z30" i="87"/>
  <c r="Z29" i="87"/>
  <c r="Z28" i="87"/>
  <c r="Z27" i="87"/>
  <c r="Z26" i="87"/>
  <c r="Z25" i="87"/>
  <c r="Z24" i="87"/>
  <c r="Z23" i="87"/>
  <c r="Z22" i="87"/>
  <c r="Z21" i="87"/>
  <c r="Z20" i="87"/>
  <c r="Z19" i="87"/>
  <c r="Z18" i="87"/>
  <c r="Z17" i="87"/>
  <c r="Z16" i="87"/>
  <c r="Z15" i="87"/>
  <c r="Z14" i="87"/>
  <c r="Z13" i="87"/>
  <c r="N13" i="87"/>
  <c r="M45" i="86"/>
  <c r="L45" i="86"/>
  <c r="M45" i="76"/>
  <c r="L45" i="76"/>
  <c r="M45" i="78"/>
  <c r="Z14" i="73"/>
  <c r="Z13" i="73"/>
  <c r="N13" i="73"/>
  <c r="L45" i="81"/>
  <c r="M45" i="81"/>
  <c r="L45" i="80"/>
  <c r="M45" i="80"/>
  <c r="L45" i="79"/>
  <c r="M45" i="79"/>
  <c r="N13" i="81"/>
  <c r="N13" i="84"/>
  <c r="N13" i="80"/>
  <c r="N13" i="83"/>
  <c r="N13" i="79"/>
  <c r="N13" i="78"/>
  <c r="N13" i="82"/>
  <c r="N13" i="77"/>
  <c r="N13" i="75"/>
  <c r="N13" i="76"/>
  <c r="N13" i="86"/>
  <c r="Z13" i="81"/>
  <c r="Z13" i="84"/>
  <c r="Z13" i="80"/>
  <c r="Z13" i="83"/>
  <c r="Z13" i="79"/>
  <c r="Z13" i="78"/>
  <c r="Z13" i="82"/>
  <c r="Z13" i="77"/>
  <c r="Z13" i="75"/>
  <c r="Z13" i="76"/>
  <c r="Z13" i="86"/>
  <c r="L45" i="78"/>
  <c r="M44" i="83"/>
  <c r="L44" i="83"/>
  <c r="Z43" i="84"/>
  <c r="Z42" i="84"/>
  <c r="Z41" i="84"/>
  <c r="Z40" i="84"/>
  <c r="Z39" i="84"/>
  <c r="Z38" i="84"/>
  <c r="Z37" i="84"/>
  <c r="Z36" i="84"/>
  <c r="Z35" i="84"/>
  <c r="Z34" i="84"/>
  <c r="Z33" i="84"/>
  <c r="Z32" i="84"/>
  <c r="Z31" i="84"/>
  <c r="Z30" i="84"/>
  <c r="Z29" i="84"/>
  <c r="Z28" i="84"/>
  <c r="Z27" i="84"/>
  <c r="Z26" i="84"/>
  <c r="Z25" i="84"/>
  <c r="Z24" i="84"/>
  <c r="Z23" i="84"/>
  <c r="Z22" i="84"/>
  <c r="Z21" i="84"/>
  <c r="Z20" i="84"/>
  <c r="Z19" i="84"/>
  <c r="Z18" i="84"/>
  <c r="Z17" i="84"/>
  <c r="Z16" i="84"/>
  <c r="Z15" i="84"/>
  <c r="Z14" i="84"/>
  <c r="Z43" i="83"/>
  <c r="Z42" i="83"/>
  <c r="Z41" i="83"/>
  <c r="Z40" i="83"/>
  <c r="Z39" i="83"/>
  <c r="Z38" i="83"/>
  <c r="Z37" i="83"/>
  <c r="Z36" i="83"/>
  <c r="Z35" i="83"/>
  <c r="Z34" i="83"/>
  <c r="Z33" i="83"/>
  <c r="Z32" i="83"/>
  <c r="Z31" i="83"/>
  <c r="Z30" i="83"/>
  <c r="Z29" i="83"/>
  <c r="Z28" i="83"/>
  <c r="Z27" i="83"/>
  <c r="Z26" i="83"/>
  <c r="Z25" i="83"/>
  <c r="Z24" i="83"/>
  <c r="Z23" i="83"/>
  <c r="Z22" i="83"/>
  <c r="Z21" i="83"/>
  <c r="Z20" i="83"/>
  <c r="Z19" i="83"/>
  <c r="Z18" i="83"/>
  <c r="Z17" i="83"/>
  <c r="Z16" i="83"/>
  <c r="Z15" i="83"/>
  <c r="Z14" i="83"/>
  <c r="Z43" i="82"/>
  <c r="Z42" i="82"/>
  <c r="Z41" i="82"/>
  <c r="Z40" i="82"/>
  <c r="Z39" i="82"/>
  <c r="Z38" i="82"/>
  <c r="Z37" i="82"/>
  <c r="Z36" i="82"/>
  <c r="Z35" i="82"/>
  <c r="Z34" i="82"/>
  <c r="Z33" i="82"/>
  <c r="Z32" i="82"/>
  <c r="Z31" i="82"/>
  <c r="Z30" i="82"/>
  <c r="Z29" i="82"/>
  <c r="Z28" i="82"/>
  <c r="Z27" i="82"/>
  <c r="Z26" i="82"/>
  <c r="Z25" i="82"/>
  <c r="Z24" i="82"/>
  <c r="Z23" i="82"/>
  <c r="Z22" i="82"/>
  <c r="Z21" i="82"/>
  <c r="Z20" i="82"/>
  <c r="Z19" i="82"/>
  <c r="Z18" i="82"/>
  <c r="Z17" i="82"/>
  <c r="Z16" i="82"/>
  <c r="Z15" i="82"/>
  <c r="Z14" i="82"/>
  <c r="Z44" i="81"/>
  <c r="Z43" i="81"/>
  <c r="Z42" i="81"/>
  <c r="Z41" i="81"/>
  <c r="Z40" i="81"/>
  <c r="Z39" i="81"/>
  <c r="Z38" i="81"/>
  <c r="Z37" i="81"/>
  <c r="Z36" i="81"/>
  <c r="Z35" i="81"/>
  <c r="Z34" i="81"/>
  <c r="Z33" i="81"/>
  <c r="Z32" i="81"/>
  <c r="Z31" i="81"/>
  <c r="Z30" i="81"/>
  <c r="Z29" i="81"/>
  <c r="Z28" i="81"/>
  <c r="Z27" i="81"/>
  <c r="Z26" i="81"/>
  <c r="Z25" i="81"/>
  <c r="Z24" i="81"/>
  <c r="Z23" i="81"/>
  <c r="Z22" i="81"/>
  <c r="Z21" i="81"/>
  <c r="Z20" i="81"/>
  <c r="Z19" i="81"/>
  <c r="Z18" i="81"/>
  <c r="Z17" i="81"/>
  <c r="Z16" i="81"/>
  <c r="Z15" i="81"/>
  <c r="Z14" i="81"/>
  <c r="Z44" i="80"/>
  <c r="Z43" i="80"/>
  <c r="Z42" i="80"/>
  <c r="Z41" i="80"/>
  <c r="Z40" i="80"/>
  <c r="Z39" i="80"/>
  <c r="Z38" i="80"/>
  <c r="Z37" i="80"/>
  <c r="Z36" i="80"/>
  <c r="Z35" i="80"/>
  <c r="Z34" i="80"/>
  <c r="Z33" i="80"/>
  <c r="Z32" i="80"/>
  <c r="Z31" i="80"/>
  <c r="Z30" i="80"/>
  <c r="Z29" i="80"/>
  <c r="Z28" i="80"/>
  <c r="Z27" i="80"/>
  <c r="Z26" i="80"/>
  <c r="Z25" i="80"/>
  <c r="Z24" i="80"/>
  <c r="Z23" i="80"/>
  <c r="Z22" i="80"/>
  <c r="Z21" i="80"/>
  <c r="Z20" i="80"/>
  <c r="Z19" i="80"/>
  <c r="Z18" i="80"/>
  <c r="Z17" i="80"/>
  <c r="Z16" i="80"/>
  <c r="Z15" i="80"/>
  <c r="Z14" i="80"/>
  <c r="Z44" i="79"/>
  <c r="Z43" i="79"/>
  <c r="Z42" i="79"/>
  <c r="Z41" i="79"/>
  <c r="Z40" i="79"/>
  <c r="Z39" i="79"/>
  <c r="Z38" i="79"/>
  <c r="Z37" i="79"/>
  <c r="Z36" i="79"/>
  <c r="Z35" i="79"/>
  <c r="Z34" i="79"/>
  <c r="Z33" i="79"/>
  <c r="Z32" i="79"/>
  <c r="Z31" i="79"/>
  <c r="Z30" i="79"/>
  <c r="Z29" i="79"/>
  <c r="Z28" i="79"/>
  <c r="Z27" i="79"/>
  <c r="Z26" i="79"/>
  <c r="Z25" i="79"/>
  <c r="Z24" i="79"/>
  <c r="Z23" i="79"/>
  <c r="Z22" i="79"/>
  <c r="Z21" i="79"/>
  <c r="Z20" i="79"/>
  <c r="Z19" i="79"/>
  <c r="Z18" i="79"/>
  <c r="Z17" i="79"/>
  <c r="Z16" i="79"/>
  <c r="Z15" i="79"/>
  <c r="Z14" i="79"/>
  <c r="Z44" i="78"/>
  <c r="Z43" i="78"/>
  <c r="Z42" i="78"/>
  <c r="Z41" i="78"/>
  <c r="Z40" i="78"/>
  <c r="Z39" i="78"/>
  <c r="Z38" i="78"/>
  <c r="Z37" i="78"/>
  <c r="Z36" i="78"/>
  <c r="Z35" i="78"/>
  <c r="Z34" i="78"/>
  <c r="Z33" i="78"/>
  <c r="Z32" i="78"/>
  <c r="Z31" i="78"/>
  <c r="Z30" i="78"/>
  <c r="Z29" i="78"/>
  <c r="Z28" i="78"/>
  <c r="Z27" i="78"/>
  <c r="Z26" i="78"/>
  <c r="Z25" i="78"/>
  <c r="Z24" i="78"/>
  <c r="Z23" i="78"/>
  <c r="Z22" i="78"/>
  <c r="Z21" i="78"/>
  <c r="Z20" i="78"/>
  <c r="Z19" i="78"/>
  <c r="Z18" i="78"/>
  <c r="Z17" i="78"/>
  <c r="Z16" i="78"/>
  <c r="Z15" i="78"/>
  <c r="Z14" i="78"/>
  <c r="Z44" i="77"/>
  <c r="Z43" i="77"/>
  <c r="Z42" i="77"/>
  <c r="Z41" i="77"/>
  <c r="Z40" i="77"/>
  <c r="Z39" i="77"/>
  <c r="Z38" i="77"/>
  <c r="Z37" i="77"/>
  <c r="Z36" i="77"/>
  <c r="Z35" i="77"/>
  <c r="Z34" i="77"/>
  <c r="Z33" i="77"/>
  <c r="Z32" i="77"/>
  <c r="Z31" i="77"/>
  <c r="Z30" i="77"/>
  <c r="Z29" i="77"/>
  <c r="Z28" i="77"/>
  <c r="Z27" i="77"/>
  <c r="Z26" i="77"/>
  <c r="Z25" i="77"/>
  <c r="Z24" i="77"/>
  <c r="Z23" i="77"/>
  <c r="Z22" i="77"/>
  <c r="Z21" i="77"/>
  <c r="Z20" i="77"/>
  <c r="Z19" i="77"/>
  <c r="Z18" i="77"/>
  <c r="Z17" i="77"/>
  <c r="Z16" i="77"/>
  <c r="Z15" i="77"/>
  <c r="Z14" i="77"/>
  <c r="Z43" i="75"/>
  <c r="Z42" i="75"/>
  <c r="Z41" i="75"/>
  <c r="Z40" i="75"/>
  <c r="Z39" i="75"/>
  <c r="Z38" i="75"/>
  <c r="Z37" i="75"/>
  <c r="Z36" i="75"/>
  <c r="Z35" i="75"/>
  <c r="Z34" i="75"/>
  <c r="Z33" i="75"/>
  <c r="Z32" i="75"/>
  <c r="Z31" i="75"/>
  <c r="Z30" i="75"/>
  <c r="Z29" i="75"/>
  <c r="Z28" i="75"/>
  <c r="Z27" i="75"/>
  <c r="Z26" i="75"/>
  <c r="Z25" i="75"/>
  <c r="Z24" i="75"/>
  <c r="Z23" i="75"/>
  <c r="Z22" i="75"/>
  <c r="Z21" i="75"/>
  <c r="Z20" i="75"/>
  <c r="Z19" i="75"/>
  <c r="Z18" i="75"/>
  <c r="Z17" i="75"/>
  <c r="Z16" i="75"/>
  <c r="Z15" i="75"/>
  <c r="Z14" i="75"/>
  <c r="Z44" i="76"/>
  <c r="Z43" i="76"/>
  <c r="Z42" i="76"/>
  <c r="Z41" i="76"/>
  <c r="Z40" i="76"/>
  <c r="Z39" i="76"/>
  <c r="Z38" i="76"/>
  <c r="Z37" i="76"/>
  <c r="Z36" i="76"/>
  <c r="Z35" i="76"/>
  <c r="Z34" i="76"/>
  <c r="Z33" i="76"/>
  <c r="Z32" i="76"/>
  <c r="Z31" i="76"/>
  <c r="Z30" i="76"/>
  <c r="Z29" i="76"/>
  <c r="Z28" i="76"/>
  <c r="Z27" i="76"/>
  <c r="Z26" i="76"/>
  <c r="Z25" i="76"/>
  <c r="Z24" i="76"/>
  <c r="Z23" i="76"/>
  <c r="Z22" i="76"/>
  <c r="Z21" i="76"/>
  <c r="Z20" i="76"/>
  <c r="Z19" i="76"/>
  <c r="Z18" i="76"/>
  <c r="Z17" i="76"/>
  <c r="Z16" i="76"/>
  <c r="Z15" i="76"/>
  <c r="Z14" i="76"/>
  <c r="Z14" i="86"/>
  <c r="Z15" i="86"/>
  <c r="Z16" i="86"/>
  <c r="Z17" i="86"/>
  <c r="Z18" i="86"/>
  <c r="Z19" i="86"/>
  <c r="Z20" i="86"/>
  <c r="Z21" i="86"/>
  <c r="Z22" i="86"/>
  <c r="Z23" i="86"/>
  <c r="Z24" i="86"/>
  <c r="Z25" i="86"/>
  <c r="Z26" i="86"/>
  <c r="Z27" i="86"/>
  <c r="Z28" i="86"/>
  <c r="Z29" i="86"/>
  <c r="Z30" i="86"/>
  <c r="Z31" i="86"/>
  <c r="Z32" i="86"/>
  <c r="Z33" i="86"/>
  <c r="Z34" i="86"/>
  <c r="Z35" i="86"/>
  <c r="Z36" i="86"/>
  <c r="Z37" i="86"/>
  <c r="Z38" i="86"/>
  <c r="Z39" i="86"/>
  <c r="Z40" i="86"/>
  <c r="Z41" i="86"/>
  <c r="Z42" i="86"/>
  <c r="Z43" i="86"/>
  <c r="Z44" i="86"/>
  <c r="M45" i="77"/>
  <c r="L45" i="77"/>
  <c r="M44" i="75"/>
  <c r="L44" i="75"/>
  <c r="P60" i="86"/>
  <c r="P62" i="73"/>
  <c r="P62" i="83"/>
  <c r="AH51" i="86"/>
  <c r="AH52" i="86"/>
  <c r="H81" i="86"/>
  <c r="H82" i="86"/>
  <c r="H83" i="86"/>
  <c r="H84" i="86"/>
  <c r="H79" i="86"/>
  <c r="H80" i="86"/>
  <c r="H87" i="86"/>
  <c r="H88" i="86"/>
  <c r="H89" i="86"/>
  <c r="H90" i="86"/>
  <c r="H91" i="86"/>
  <c r="H92" i="86"/>
  <c r="H93" i="86"/>
  <c r="H94" i="86"/>
  <c r="H95" i="86"/>
  <c r="H96" i="86"/>
  <c r="H97" i="86"/>
  <c r="H99" i="86"/>
  <c r="H100" i="86"/>
  <c r="H101" i="86"/>
  <c r="H102" i="86"/>
  <c r="H103" i="86"/>
  <c r="H105" i="86"/>
  <c r="H106" i="86"/>
  <c r="H107" i="86"/>
  <c r="H108" i="86"/>
  <c r="H109" i="86"/>
  <c r="H110" i="86"/>
  <c r="H111" i="86"/>
  <c r="AH51" i="73"/>
  <c r="AH52" i="73"/>
  <c r="AH51" i="75"/>
  <c r="AH52" i="75"/>
  <c r="AH51" i="82"/>
  <c r="AH52" i="82"/>
  <c r="AH51" i="87"/>
  <c r="AH52" i="87"/>
  <c r="AH51" i="76"/>
  <c r="AH52" i="76"/>
  <c r="AH51" i="77"/>
  <c r="AH52" i="77"/>
  <c r="AH51" i="78"/>
  <c r="AH52" i="78"/>
  <c r="AH51" i="79"/>
  <c r="AH52" i="79"/>
  <c r="AH51" i="83"/>
  <c r="AH52" i="83"/>
  <c r="AH51" i="80"/>
  <c r="AH52" i="80"/>
  <c r="AH51" i="84"/>
  <c r="AH52" i="84"/>
  <c r="AH51" i="81"/>
  <c r="AH52" i="81"/>
  <c r="L70" i="91"/>
  <c r="L71" i="91"/>
  <c r="H81" i="92"/>
  <c r="H82" i="92"/>
  <c r="H83" i="92"/>
  <c r="H84" i="92"/>
  <c r="H79" i="92"/>
  <c r="H80" i="92"/>
  <c r="H87" i="92"/>
  <c r="H88" i="92"/>
  <c r="H89" i="92"/>
  <c r="H90" i="92"/>
  <c r="H91" i="92"/>
  <c r="H92" i="92"/>
  <c r="H93" i="92"/>
  <c r="H94" i="92"/>
  <c r="H95" i="92"/>
  <c r="H96" i="92"/>
  <c r="H97" i="92"/>
  <c r="H98" i="92"/>
  <c r="H99" i="92"/>
  <c r="H100" i="92"/>
  <c r="H101" i="92"/>
  <c r="H102" i="92"/>
  <c r="H103" i="92"/>
  <c r="H105" i="92"/>
  <c r="H106" i="92"/>
  <c r="H107" i="92"/>
  <c r="H108" i="92"/>
  <c r="H109" i="92"/>
  <c r="H110" i="92"/>
  <c r="H111" i="92"/>
  <c r="H78" i="86"/>
  <c r="P55" i="81"/>
  <c r="P55" i="84"/>
  <c r="P55" i="80"/>
  <c r="P55" i="83"/>
  <c r="P55" i="79"/>
  <c r="P53" i="79"/>
  <c r="P55" i="78"/>
  <c r="P55" i="82"/>
  <c r="P55" i="77"/>
  <c r="P55" i="75"/>
  <c r="P55" i="76"/>
  <c r="P55" i="73"/>
  <c r="P53" i="73"/>
  <c r="P53" i="86"/>
  <c r="P55" i="86"/>
  <c r="P53" i="76"/>
  <c r="P53" i="75"/>
  <c r="P53" i="77"/>
  <c r="P53" i="82"/>
  <c r="P53" i="78"/>
  <c r="P53" i="83"/>
  <c r="P53" i="80"/>
  <c r="P53" i="84"/>
  <c r="P53" i="81"/>
  <c r="C112" i="3"/>
  <c r="P53" i="87"/>
  <c r="P55" i="87"/>
  <c r="C113" i="3"/>
  <c r="P53" i="91"/>
  <c r="P55" i="91"/>
  <c r="C114" i="3"/>
  <c r="P53" i="92"/>
  <c r="P55" i="92"/>
  <c r="E125" i="3"/>
  <c r="C125" i="3"/>
  <c r="E123" i="3"/>
  <c r="C123" i="3"/>
  <c r="E122" i="3"/>
  <c r="C122" i="3"/>
  <c r="E121" i="3"/>
  <c r="C121" i="3"/>
  <c r="E120" i="3"/>
  <c r="C120" i="3"/>
  <c r="E119" i="3"/>
  <c r="C119" i="3"/>
  <c r="E118" i="3"/>
  <c r="C118" i="3"/>
  <c r="E117" i="3"/>
  <c r="C117" i="3"/>
  <c r="E116" i="3"/>
  <c r="C116" i="3"/>
  <c r="E115" i="3"/>
  <c r="C115" i="3"/>
  <c r="AA51" i="86"/>
  <c r="AA52" i="86"/>
  <c r="AB51" i="86"/>
  <c r="AB52" i="86"/>
  <c r="L70" i="86"/>
  <c r="L71" i="86"/>
  <c r="AB51" i="73"/>
  <c r="AB52" i="73" s="1"/>
  <c r="AB51" i="76"/>
  <c r="AB52" i="76"/>
  <c r="L70" i="76"/>
  <c r="L71" i="76"/>
  <c r="AB51" i="75"/>
  <c r="AB52" i="75"/>
  <c r="L70" i="75"/>
  <c r="L71" i="75"/>
  <c r="AB51" i="77"/>
  <c r="AB52" i="77"/>
  <c r="L70" i="77"/>
  <c r="L71" i="77"/>
  <c r="AB51" i="82"/>
  <c r="AB52" i="82"/>
  <c r="L70" i="82"/>
  <c r="L71" i="82"/>
  <c r="AB51" i="78"/>
  <c r="AB52" i="78"/>
  <c r="L70" i="78"/>
  <c r="L71" i="78"/>
  <c r="AB51" i="79"/>
  <c r="AB52" i="79"/>
  <c r="L70" i="79"/>
  <c r="L71" i="79"/>
  <c r="AB51" i="83"/>
  <c r="AB52" i="83"/>
  <c r="L70" i="83"/>
  <c r="L71" i="83"/>
  <c r="AB51" i="80"/>
  <c r="AB52" i="80"/>
  <c r="L70" i="80"/>
  <c r="L71" i="80"/>
  <c r="AB51" i="84"/>
  <c r="AB52" i="84"/>
  <c r="L70" i="84"/>
  <c r="L71" i="84"/>
  <c r="AB51" i="81"/>
  <c r="AB52" i="81"/>
  <c r="L70" i="81"/>
  <c r="L71" i="81"/>
  <c r="AB51" i="87"/>
  <c r="AB52" i="87"/>
  <c r="L70" i="87"/>
  <c r="L71" i="87"/>
  <c r="AH51" i="91"/>
  <c r="AH52" i="91"/>
  <c r="AB51" i="92"/>
  <c r="AB52" i="92"/>
  <c r="L70" i="92"/>
  <c r="L71" i="92"/>
  <c r="H78" i="92"/>
  <c r="H78" i="91"/>
  <c r="H78" i="73"/>
  <c r="A64" i="16" a="1"/>
  <c r="E26" i="89"/>
  <c r="A18" i="16" a="1"/>
  <c r="A57" i="16" a="1"/>
  <c r="D41" i="89"/>
  <c r="A46" i="16" a="1"/>
  <c r="E15" i="89"/>
  <c r="A25" i="16" a="1"/>
  <c r="D48" i="89"/>
  <c r="C43" i="89"/>
  <c r="A22" i="16" a="1"/>
  <c r="C50" i="89"/>
  <c r="A16" i="16" a="1"/>
  <c r="D53" i="89"/>
  <c r="C51" i="89"/>
  <c r="C42" i="89"/>
  <c r="E24" i="89"/>
  <c r="A58" i="16" a="1"/>
  <c r="D40" i="89"/>
  <c r="C46" i="89"/>
  <c r="A24" i="16" a="1"/>
  <c r="A20" i="16" a="1"/>
  <c r="A65" i="16" a="1"/>
  <c r="A51" i="16" a="1"/>
  <c r="A56" i="16" a="1"/>
  <c r="E16" i="89"/>
  <c r="A49" i="16" a="1"/>
  <c r="A62" i="16" a="1"/>
  <c r="E29" i="89"/>
  <c r="A30" i="16" a="1"/>
  <c r="A55" i="16" a="1"/>
  <c r="A59" i="16" a="1"/>
  <c r="A61" i="16" a="1"/>
  <c r="A54" i="16" a="1"/>
  <c r="A45" i="16" a="1"/>
  <c r="E28" i="89"/>
  <c r="D44" i="89"/>
  <c r="A27" i="16" a="1"/>
  <c r="D42" i="89"/>
  <c r="E22" i="89"/>
  <c r="C44" i="89"/>
  <c r="A47" i="16" a="1"/>
  <c r="A21" i="16" a="1"/>
  <c r="A63" i="16" a="1"/>
  <c r="C53" i="89"/>
  <c r="A53" i="16" a="1"/>
  <c r="E27" i="89"/>
  <c r="A15" i="16" a="1"/>
  <c r="D50" i="89"/>
  <c r="E20" i="89"/>
  <c r="A32" i="16" a="1"/>
  <c r="A52" i="16" a="1"/>
  <c r="A43" i="16" a="1"/>
  <c r="E25" i="89"/>
  <c r="C47" i="89"/>
  <c r="E19" i="89"/>
  <c r="C41" i="89"/>
  <c r="E23" i="89"/>
  <c r="C49" i="89"/>
  <c r="C52" i="89"/>
  <c r="A26" i="16" a="1"/>
  <c r="A29" i="16" a="1"/>
  <c r="E17" i="89"/>
  <c r="A50" i="16" a="1"/>
  <c r="A23" i="16" a="1"/>
  <c r="D52" i="89"/>
  <c r="E18" i="89"/>
  <c r="D47" i="89"/>
  <c r="A14" i="16" a="1"/>
  <c r="D54" i="89"/>
  <c r="E21" i="89"/>
  <c r="A44" i="16" a="1"/>
  <c r="D45" i="89"/>
  <c r="A34" i="16" a="1"/>
  <c r="A19" i="16" a="1"/>
  <c r="D51" i="89"/>
  <c r="A60" i="16" a="1"/>
  <c r="A48" i="16" a="1"/>
  <c r="C48" i="89"/>
  <c r="A17" i="16" a="1"/>
  <c r="C54" i="89"/>
  <c r="C40" i="89"/>
  <c r="D49" i="89"/>
  <c r="A28" i="16" a="1"/>
  <c r="D46" i="89"/>
  <c r="C45" i="89"/>
  <c r="A33" i="16" a="1"/>
  <c r="D43" i="89"/>
  <c r="A31" i="16" a="1"/>
  <c r="H26" i="3" l="1"/>
  <c r="C26" i="3"/>
  <c r="F121" i="3"/>
  <c r="F123" i="3"/>
  <c r="F115" i="3"/>
  <c r="H21" i="3"/>
  <c r="C23" i="3"/>
  <c r="C31" i="3"/>
  <c r="F114" i="3"/>
  <c r="N8" i="92" s="1"/>
  <c r="H23" i="3"/>
  <c r="C25" i="3"/>
  <c r="F118" i="3"/>
  <c r="F120" i="3"/>
  <c r="F105" i="3"/>
  <c r="F106" i="3"/>
  <c r="F107" i="3"/>
  <c r="P57" i="79" s="1"/>
  <c r="F108" i="3"/>
  <c r="F109" i="3"/>
  <c r="F110" i="3"/>
  <c r="H22" i="3"/>
  <c r="C24" i="3"/>
  <c r="F100" i="3"/>
  <c r="F104" i="3"/>
  <c r="F102" i="3"/>
  <c r="F103" i="3"/>
  <c r="N8" i="75" s="1"/>
  <c r="C21" i="3"/>
  <c r="C22" i="3"/>
  <c r="F117" i="3"/>
  <c r="F111" i="3"/>
  <c r="F119" i="3"/>
  <c r="F113" i="3"/>
  <c r="P57" i="91" s="1"/>
  <c r="F112" i="3"/>
  <c r="N8" i="87" s="1"/>
  <c r="C27" i="3"/>
  <c r="F116" i="3"/>
  <c r="F122" i="3"/>
  <c r="P68" i="77"/>
  <c r="K6" i="86"/>
  <c r="F22" i="17"/>
  <c r="H19" i="17"/>
  <c r="D17" i="17"/>
  <c r="F14" i="17"/>
  <c r="H11" i="17"/>
  <c r="D9" i="17"/>
  <c r="F6" i="17"/>
  <c r="M18" i="17"/>
  <c r="R19" i="17"/>
  <c r="P16" i="17"/>
  <c r="N13" i="17"/>
  <c r="P6" i="17"/>
  <c r="K6" i="79"/>
  <c r="F101" i="3"/>
  <c r="N8" i="73" s="1"/>
  <c r="P60" i="80"/>
  <c r="M10" i="17"/>
  <c r="S17" i="17"/>
  <c r="O15" i="17"/>
  <c r="R11" i="17"/>
  <c r="Q4" i="17"/>
  <c r="P67" i="78"/>
  <c r="E69" i="89"/>
  <c r="P62" i="75"/>
  <c r="Q6" i="79"/>
  <c r="L61" i="79" s="1"/>
  <c r="H15" i="17"/>
  <c r="D13" i="17"/>
  <c r="F10" i="17"/>
  <c r="H7" i="17"/>
  <c r="D5" i="17"/>
  <c r="M9" i="17"/>
  <c r="R17" i="17"/>
  <c r="S14" i="17"/>
  <c r="O11" i="17"/>
  <c r="P4" i="17"/>
  <c r="L74" i="84"/>
  <c r="K22" i="84" s="1"/>
  <c r="T22" i="84" s="1"/>
  <c r="P67" i="73"/>
  <c r="P45" i="78"/>
  <c r="E18" i="17"/>
  <c r="G15" i="17"/>
  <c r="I12" i="17"/>
  <c r="E10" i="17"/>
  <c r="G7" i="17"/>
  <c r="I4" i="17"/>
  <c r="Q20" i="17"/>
  <c r="P17" i="17"/>
  <c r="P14" i="17"/>
  <c r="R7" i="17"/>
  <c r="L74" i="80"/>
  <c r="K19" i="80" s="1"/>
  <c r="T19" i="80" s="1"/>
  <c r="P44" i="83"/>
  <c r="P45" i="77"/>
  <c r="D18" i="17"/>
  <c r="F15" i="17"/>
  <c r="H12" i="17"/>
  <c r="D10" i="17"/>
  <c r="F7" i="17"/>
  <c r="M5" i="17"/>
  <c r="O20" i="17"/>
  <c r="N17" i="17"/>
  <c r="R13" i="17"/>
  <c r="O7" i="17"/>
  <c r="K6" i="75"/>
  <c r="K8" i="77"/>
  <c r="C10" i="17"/>
  <c r="F20" i="17"/>
  <c r="H17" i="17"/>
  <c r="D15" i="17"/>
  <c r="F12" i="17"/>
  <c r="H9" i="17"/>
  <c r="D7" i="17"/>
  <c r="M22" i="17"/>
  <c r="N20" i="17"/>
  <c r="Q16" i="17"/>
  <c r="Q13" i="17"/>
  <c r="L70" i="73"/>
  <c r="P60" i="73"/>
  <c r="P71" i="77"/>
  <c r="L71" i="73"/>
  <c r="D58" i="89"/>
  <c r="P71" i="76"/>
  <c r="P71" i="84"/>
  <c r="P69" i="84"/>
  <c r="L57" i="87"/>
  <c r="L57" i="92"/>
  <c r="L57" i="78"/>
  <c r="G53" i="75"/>
  <c r="L57" i="77"/>
  <c r="L57" i="76"/>
  <c r="L57" i="75"/>
  <c r="G52" i="75"/>
  <c r="G52" i="82"/>
  <c r="G52" i="77"/>
  <c r="Q6" i="83"/>
  <c r="L50" i="83" s="1"/>
  <c r="Q6" i="87"/>
  <c r="L61" i="87" s="1"/>
  <c r="L65" i="87" s="1"/>
  <c r="Q6" i="92"/>
  <c r="Q6" i="86"/>
  <c r="L60" i="86" s="1"/>
  <c r="L64" i="86" s="1"/>
  <c r="Q6" i="76"/>
  <c r="L61" i="76" s="1"/>
  <c r="L65" i="76" s="1"/>
  <c r="Q6" i="77"/>
  <c r="L50" i="77" s="1"/>
  <c r="L64" i="78"/>
  <c r="C4" i="17"/>
  <c r="C7" i="17"/>
  <c r="C6" i="17"/>
  <c r="Q6" i="82"/>
  <c r="L60" i="82" s="1"/>
  <c r="L72" i="82" s="1"/>
  <c r="L73" i="91"/>
  <c r="L65" i="91"/>
  <c r="L64" i="80"/>
  <c r="L72" i="80"/>
  <c r="L50" i="84"/>
  <c r="L61" i="84"/>
  <c r="L65" i="84" s="1"/>
  <c r="Q6" i="73"/>
  <c r="Q6" i="75"/>
  <c r="L50" i="75" s="1"/>
  <c r="K34" i="80"/>
  <c r="T34" i="80" s="1"/>
  <c r="W34" i="80" s="1" a="1"/>
  <c r="W34" i="80" s="1"/>
  <c r="K6" i="77"/>
  <c r="K6" i="84"/>
  <c r="K6" i="81"/>
  <c r="C60" i="89"/>
  <c r="L74" i="73"/>
  <c r="K14" i="73" s="1"/>
  <c r="T14" i="73" s="1"/>
  <c r="Y15" i="73" s="1" a="1"/>
  <c r="Y15" i="73" s="1"/>
  <c r="E61" i="89"/>
  <c r="P62" i="78"/>
  <c r="P57" i="87"/>
  <c r="P62" i="84"/>
  <c r="P60" i="77"/>
  <c r="P66" i="86"/>
  <c r="P66" i="75"/>
  <c r="P68" i="80"/>
  <c r="C62" i="89"/>
  <c r="E62" i="89"/>
  <c r="P66" i="80"/>
  <c r="P45" i="87"/>
  <c r="K6" i="91"/>
  <c r="E8" i="91" s="1"/>
  <c r="P62" i="76"/>
  <c r="P66" i="79"/>
  <c r="P60" i="87"/>
  <c r="P60" i="79"/>
  <c r="P57" i="92"/>
  <c r="L61" i="81"/>
  <c r="P62" i="82"/>
  <c r="P60" i="76"/>
  <c r="P67" i="86"/>
  <c r="P67" i="75"/>
  <c r="P68" i="84"/>
  <c r="P66" i="81"/>
  <c r="P61" i="83"/>
  <c r="P45" i="79"/>
  <c r="E68" i="89"/>
  <c r="P68" i="78"/>
  <c r="P69" i="78"/>
  <c r="P60" i="83"/>
  <c r="P66" i="76"/>
  <c r="P61" i="77"/>
  <c r="K8" i="73"/>
  <c r="E67" i="89"/>
  <c r="P67" i="76"/>
  <c r="P67" i="79"/>
  <c r="P57" i="73"/>
  <c r="P62" i="80"/>
  <c r="P67" i="77"/>
  <c r="E74" i="89"/>
  <c r="E72" i="89"/>
  <c r="Y35" i="80" a="1"/>
  <c r="Y35" i="80" s="1"/>
  <c r="L61" i="83"/>
  <c r="K8" i="84"/>
  <c r="K6" i="78"/>
  <c r="D59" i="78"/>
  <c r="K6" i="80"/>
  <c r="K31" i="84"/>
  <c r="T31" i="84" s="1"/>
  <c r="W31" i="84" s="1" a="1"/>
  <c r="W31" i="84" s="1"/>
  <c r="K18" i="84"/>
  <c r="T18" i="84" s="1"/>
  <c r="U19" i="84" s="1" a="1"/>
  <c r="U19" i="84" s="1"/>
  <c r="K6" i="92"/>
  <c r="K28" i="73"/>
  <c r="T28" i="73" s="1"/>
  <c r="U29" i="73" s="1" a="1"/>
  <c r="U29" i="73" s="1"/>
  <c r="L73" i="87"/>
  <c r="K17" i="73"/>
  <c r="T17" i="73" s="1"/>
  <c r="L64" i="81"/>
  <c r="L72" i="81"/>
  <c r="L64" i="84"/>
  <c r="L72" i="84"/>
  <c r="K17" i="84"/>
  <c r="T17" i="84" s="1"/>
  <c r="W17" i="84" s="1" a="1"/>
  <c r="W17" i="84" s="1"/>
  <c r="P69" i="76"/>
  <c r="P69" i="83"/>
  <c r="P69" i="81"/>
  <c r="P69" i="77"/>
  <c r="E60" i="89"/>
  <c r="C61" i="89"/>
  <c r="K6" i="87"/>
  <c r="K6" i="73"/>
  <c r="K8" i="78"/>
  <c r="P67" i="83"/>
  <c r="P62" i="91"/>
  <c r="K52" i="81"/>
  <c r="L52" i="81" s="1"/>
  <c r="P60" i="82"/>
  <c r="P66" i="82"/>
  <c r="P68" i="83"/>
  <c r="P42" i="73"/>
  <c r="L74" i="87"/>
  <c r="K30" i="87" s="1"/>
  <c r="T30" i="87" s="1"/>
  <c r="L74" i="92"/>
  <c r="K28" i="92" s="1"/>
  <c r="T28" i="92" s="1"/>
  <c r="E58" i="89"/>
  <c r="E59" i="89"/>
  <c r="P69" i="79"/>
  <c r="P69" i="82"/>
  <c r="P69" i="75"/>
  <c r="P69" i="73"/>
  <c r="P69" i="80"/>
  <c r="P57" i="83"/>
  <c r="N8" i="83"/>
  <c r="N8" i="82"/>
  <c r="P57" i="82"/>
  <c r="L74" i="82"/>
  <c r="K30" i="82" s="1"/>
  <c r="T30" i="82" s="1"/>
  <c r="E70" i="89"/>
  <c r="L74" i="75"/>
  <c r="K28" i="75" s="1"/>
  <c r="T28" i="75" s="1"/>
  <c r="L50" i="78"/>
  <c r="L61" i="78"/>
  <c r="P67" i="82"/>
  <c r="P61" i="82"/>
  <c r="P45" i="86"/>
  <c r="P61" i="92"/>
  <c r="P61" i="76"/>
  <c r="P61" i="78"/>
  <c r="P61" i="81"/>
  <c r="P67" i="84"/>
  <c r="P61" i="75"/>
  <c r="P61" i="79"/>
  <c r="P61" i="87"/>
  <c r="C58" i="89"/>
  <c r="P62" i="77"/>
  <c r="P62" i="86"/>
  <c r="P62" i="81"/>
  <c r="P68" i="79"/>
  <c r="P68" i="82"/>
  <c r="P68" i="75"/>
  <c r="P68" i="73"/>
  <c r="P62" i="87"/>
  <c r="P62" i="79"/>
  <c r="E71" i="89"/>
  <c r="K6" i="83"/>
  <c r="P66" i="83"/>
  <c r="P66" i="78"/>
  <c r="P66" i="77"/>
  <c r="P60" i="81"/>
  <c r="P66" i="84"/>
  <c r="E57" i="89"/>
  <c r="P60" i="84"/>
  <c r="P60" i="75"/>
  <c r="C59" i="89"/>
  <c r="P68" i="76"/>
  <c r="P57" i="75"/>
  <c r="L50" i="81"/>
  <c r="C57" i="89"/>
  <c r="P44" i="75"/>
  <c r="L74" i="83"/>
  <c r="K36" i="83" s="1"/>
  <c r="T36" i="83" s="1"/>
  <c r="L74" i="86"/>
  <c r="K41" i="86" s="1"/>
  <c r="T41" i="86" s="1"/>
  <c r="D59" i="91"/>
  <c r="D59" i="84"/>
  <c r="K8" i="91"/>
  <c r="E64" i="89"/>
  <c r="C63" i="89"/>
  <c r="E63" i="89"/>
  <c r="K28" i="83"/>
  <c r="T28" i="83" s="1"/>
  <c r="K20" i="73"/>
  <c r="T20" i="73" s="1"/>
  <c r="K24" i="73"/>
  <c r="T24" i="73" s="1"/>
  <c r="K27" i="73"/>
  <c r="T27" i="73" s="1"/>
  <c r="K36" i="73"/>
  <c r="T36" i="73" s="1"/>
  <c r="K31" i="73"/>
  <c r="T31" i="73" s="1"/>
  <c r="K25" i="73"/>
  <c r="T25" i="73" s="1"/>
  <c r="K26" i="73"/>
  <c r="T26" i="73" s="1"/>
  <c r="K37" i="73"/>
  <c r="T37" i="73" s="1"/>
  <c r="K33" i="73"/>
  <c r="T33" i="73" s="1"/>
  <c r="K19" i="73"/>
  <c r="T19" i="73" s="1"/>
  <c r="K34" i="73"/>
  <c r="T34" i="73" s="1"/>
  <c r="K40" i="73"/>
  <c r="T40" i="73" s="1"/>
  <c r="K38" i="73"/>
  <c r="T38" i="73" s="1"/>
  <c r="D59" i="76"/>
  <c r="E8" i="76" s="1"/>
  <c r="K35" i="75"/>
  <c r="T35" i="75" s="1"/>
  <c r="K30" i="75"/>
  <c r="T30" i="75" s="1"/>
  <c r="U18" i="73" a="1"/>
  <c r="U18" i="73" s="1"/>
  <c r="X17" i="73" a="1"/>
  <c r="X17" i="73" s="1"/>
  <c r="V17" i="73" a="1"/>
  <c r="V17" i="73" s="1"/>
  <c r="K52" i="79"/>
  <c r="L52" i="79" s="1"/>
  <c r="K8" i="82"/>
  <c r="U15" i="73" a="1"/>
  <c r="U15" i="73" s="1"/>
  <c r="K52" i="86"/>
  <c r="L52" i="86" s="1"/>
  <c r="K32" i="87"/>
  <c r="T32" i="87" s="1"/>
  <c r="K36" i="87"/>
  <c r="T36" i="87" s="1"/>
  <c r="K42" i="87"/>
  <c r="T42" i="87" s="1"/>
  <c r="K38" i="87"/>
  <c r="T38" i="87" s="1"/>
  <c r="K43" i="87"/>
  <c r="T43" i="87" s="1"/>
  <c r="K35" i="87"/>
  <c r="T35" i="87" s="1"/>
  <c r="K39" i="87"/>
  <c r="T39" i="87" s="1"/>
  <c r="K37" i="87"/>
  <c r="T37" i="87" s="1"/>
  <c r="K31" i="87"/>
  <c r="T31" i="87" s="1"/>
  <c r="K8" i="87"/>
  <c r="D59" i="82"/>
  <c r="K8" i="76"/>
  <c r="K8" i="80"/>
  <c r="D59" i="79"/>
  <c r="E8" i="79" s="1"/>
  <c r="K52" i="77"/>
  <c r="L52" i="77" s="1"/>
  <c r="K52" i="76"/>
  <c r="L52" i="76" s="1"/>
  <c r="P45" i="81"/>
  <c r="K52" i="75"/>
  <c r="L52" i="75" s="1"/>
  <c r="L61" i="80"/>
  <c r="L50" i="80"/>
  <c r="P44" i="82"/>
  <c r="K32" i="73"/>
  <c r="T32" i="73" s="1"/>
  <c r="K18" i="80"/>
  <c r="T18" i="80" s="1"/>
  <c r="K52" i="80"/>
  <c r="L52" i="80" s="1"/>
  <c r="P45" i="92"/>
  <c r="K8" i="83"/>
  <c r="K16" i="80"/>
  <c r="T16" i="80" s="1"/>
  <c r="K25" i="80"/>
  <c r="T25" i="80" s="1"/>
  <c r="K29" i="80"/>
  <c r="T29" i="80" s="1"/>
  <c r="K33" i="80"/>
  <c r="T33" i="80" s="1"/>
  <c r="K37" i="80"/>
  <c r="T37" i="80" s="1"/>
  <c r="K43" i="80"/>
  <c r="T43" i="80" s="1"/>
  <c r="K35" i="80"/>
  <c r="T35" i="80" s="1"/>
  <c r="K23" i="80"/>
  <c r="T23" i="80" s="1"/>
  <c r="K15" i="80"/>
  <c r="T15" i="80" s="1"/>
  <c r="K22" i="80"/>
  <c r="T22" i="80" s="1"/>
  <c r="K30" i="80"/>
  <c r="T30" i="80" s="1"/>
  <c r="K17" i="80"/>
  <c r="T17" i="80" s="1"/>
  <c r="K24" i="80"/>
  <c r="T24" i="80" s="1"/>
  <c r="K39" i="80"/>
  <c r="T39" i="80" s="1"/>
  <c r="K26" i="80"/>
  <c r="T26" i="80" s="1"/>
  <c r="K41" i="80"/>
  <c r="T41" i="80" s="1"/>
  <c r="K40" i="80"/>
  <c r="T40" i="80" s="1"/>
  <c r="K38" i="80"/>
  <c r="T38" i="80" s="1"/>
  <c r="K14" i="80"/>
  <c r="E73" i="89"/>
  <c r="K35" i="73"/>
  <c r="T35" i="73" s="1"/>
  <c r="K52" i="78"/>
  <c r="L52" i="78" s="1"/>
  <c r="K32" i="80"/>
  <c r="T32" i="80" s="1"/>
  <c r="P45" i="80"/>
  <c r="P61" i="91"/>
  <c r="P61" i="80"/>
  <c r="P67" i="80"/>
  <c r="P61" i="84"/>
  <c r="P67" i="81"/>
  <c r="P45" i="76"/>
  <c r="K22" i="82"/>
  <c r="T22" i="82" s="1"/>
  <c r="K24" i="82"/>
  <c r="T24" i="82" s="1"/>
  <c r="K8" i="79"/>
  <c r="C64" i="89"/>
  <c r="K23" i="73"/>
  <c r="T23" i="73" s="1"/>
  <c r="K8" i="81"/>
  <c r="P44" i="84"/>
  <c r="K8" i="86"/>
  <c r="K30" i="73"/>
  <c r="T30" i="73" s="1"/>
  <c r="K52" i="92"/>
  <c r="L52" i="92" s="1"/>
  <c r="L61" i="92"/>
  <c r="L60" i="92"/>
  <c r="K52" i="83"/>
  <c r="L52" i="83" s="1"/>
  <c r="P42" i="91"/>
  <c r="L50" i="92"/>
  <c r="K15" i="73"/>
  <c r="K8" i="75"/>
  <c r="K52" i="73"/>
  <c r="L52" i="73" s="1"/>
  <c r="L74" i="81"/>
  <c r="D59" i="81"/>
  <c r="P60" i="91"/>
  <c r="D59" i="77"/>
  <c r="E8" i="77" s="1"/>
  <c r="K8" i="92"/>
  <c r="K52" i="82"/>
  <c r="L52" i="82" s="1"/>
  <c r="D59" i="83"/>
  <c r="L74" i="91"/>
  <c r="D59" i="75"/>
  <c r="E8" i="75" s="1"/>
  <c r="D59" i="92"/>
  <c r="D59" i="73"/>
  <c r="N8" i="79"/>
  <c r="L50" i="91"/>
  <c r="L60" i="91"/>
  <c r="K52" i="84"/>
  <c r="L52" i="84" s="1"/>
  <c r="D59" i="87"/>
  <c r="D59" i="86"/>
  <c r="E8" i="86" s="1"/>
  <c r="D59" i="80"/>
  <c r="E8" i="80" s="1"/>
  <c r="K52" i="87"/>
  <c r="L52" i="87" s="1"/>
  <c r="P62" i="92"/>
  <c r="K52" i="91"/>
  <c r="L52" i="91" s="1"/>
  <c r="P60" i="92"/>
  <c r="A15" i="16"/>
  <c r="A25" i="16"/>
  <c r="A47" i="16"/>
  <c r="A21" i="16"/>
  <c r="A28" i="16"/>
  <c r="A26" i="16"/>
  <c r="A32" i="16"/>
  <c r="A14" i="16"/>
  <c r="A30" i="16"/>
  <c r="A50" i="16"/>
  <c r="A22" i="16"/>
  <c r="F27" i="89"/>
  <c r="F21" i="89"/>
  <c r="K56" i="86"/>
  <c r="F15" i="89"/>
  <c r="A44" i="16"/>
  <c r="A46" i="16"/>
  <c r="A57" i="16"/>
  <c r="A54" i="16"/>
  <c r="A64" i="16"/>
  <c r="A51" i="16"/>
  <c r="A62" i="16"/>
  <c r="A55" i="16"/>
  <c r="A27" i="16"/>
  <c r="A17" i="16"/>
  <c r="A29" i="16"/>
  <c r="A60" i="16"/>
  <c r="A18" i="16"/>
  <c r="A19" i="16"/>
  <c r="A16" i="16"/>
  <c r="A48" i="16"/>
  <c r="A20" i="16"/>
  <c r="A63" i="16"/>
  <c r="A53" i="16"/>
  <c r="A49" i="16"/>
  <c r="A61" i="16"/>
  <c r="A58" i="16"/>
  <c r="A31" i="16"/>
  <c r="A45" i="16"/>
  <c r="A59" i="16"/>
  <c r="A23" i="16"/>
  <c r="A24" i="16"/>
  <c r="A52" i="16"/>
  <c r="A34" i="16"/>
  <c r="A65" i="16"/>
  <c r="A43" i="16"/>
  <c r="A33" i="16"/>
  <c r="A56" i="16"/>
  <c r="C18" i="89"/>
  <c r="C22" i="89"/>
  <c r="C24" i="89"/>
  <c r="C17" i="89"/>
  <c r="C19" i="89"/>
  <c r="C15" i="89"/>
  <c r="C28" i="89"/>
  <c r="W22" i="84" l="1" a="1"/>
  <c r="W22" i="84" s="1"/>
  <c r="U23" i="84" a="1"/>
  <c r="U23" i="84" s="1"/>
  <c r="X22" i="84" a="1"/>
  <c r="X22" i="84" s="1"/>
  <c r="V22" i="84" a="1"/>
  <c r="V22" i="84" s="1"/>
  <c r="Y23" i="84" a="1"/>
  <c r="Y23" i="84" s="1"/>
  <c r="P57" i="76"/>
  <c r="N8" i="76"/>
  <c r="K40" i="84"/>
  <c r="T40" i="84" s="1"/>
  <c r="N8" i="77"/>
  <c r="P57" i="77"/>
  <c r="N8" i="78"/>
  <c r="P57" i="78"/>
  <c r="V17" i="84" a="1"/>
  <c r="V17" i="84" s="1"/>
  <c r="K43" i="84"/>
  <c r="T43" i="84" s="1"/>
  <c r="X43" i="84" s="1" a="1"/>
  <c r="X43" i="84" s="1"/>
  <c r="K30" i="84"/>
  <c r="T30" i="84" s="1"/>
  <c r="K27" i="84"/>
  <c r="T27" i="84" s="1"/>
  <c r="K14" i="84"/>
  <c r="T14" i="84" s="1"/>
  <c r="N8" i="86"/>
  <c r="P57" i="86"/>
  <c r="K24" i="84"/>
  <c r="T24" i="84" s="1"/>
  <c r="K20" i="84"/>
  <c r="T20" i="84" s="1"/>
  <c r="K29" i="84"/>
  <c r="T29" i="84" s="1"/>
  <c r="U18" i="84" a="1"/>
  <c r="U18" i="84" s="1"/>
  <c r="K41" i="84"/>
  <c r="T41" i="84" s="1"/>
  <c r="Y42" i="84" s="1" a="1"/>
  <c r="Y42" i="84" s="1"/>
  <c r="N8" i="81"/>
  <c r="P57" i="81"/>
  <c r="K42" i="80"/>
  <c r="T42" i="80" s="1"/>
  <c r="K31" i="80"/>
  <c r="T31" i="80" s="1"/>
  <c r="K44" i="80"/>
  <c r="T44" i="80" s="1"/>
  <c r="V44" i="80" s="1" a="1"/>
  <c r="V44" i="80" s="1"/>
  <c r="K20" i="80"/>
  <c r="T20" i="80" s="1"/>
  <c r="K44" i="87"/>
  <c r="T44" i="87" s="1"/>
  <c r="K23" i="84"/>
  <c r="T23" i="84" s="1"/>
  <c r="Y24" i="84" s="1" a="1"/>
  <c r="Y24" i="84" s="1"/>
  <c r="Y18" i="84" a="1"/>
  <c r="Y18" i="84" s="1"/>
  <c r="L50" i="79"/>
  <c r="K37" i="84"/>
  <c r="T37" i="84" s="1"/>
  <c r="K42" i="84"/>
  <c r="T42" i="84" s="1"/>
  <c r="K38" i="84"/>
  <c r="T38" i="84" s="1"/>
  <c r="V38" i="84" s="1" a="1"/>
  <c r="V38" i="84" s="1"/>
  <c r="K21" i="84"/>
  <c r="T21" i="84" s="1"/>
  <c r="N8" i="91"/>
  <c r="L60" i="79"/>
  <c r="L72" i="79" s="1"/>
  <c r="K19" i="84"/>
  <c r="T19" i="84" s="1"/>
  <c r="X19" i="84" s="1" a="1"/>
  <c r="X19" i="84" s="1"/>
  <c r="K36" i="84"/>
  <c r="T36" i="84" s="1"/>
  <c r="N8" i="84"/>
  <c r="P57" i="84"/>
  <c r="K33" i="84"/>
  <c r="T33" i="84" s="1"/>
  <c r="V33" i="84" s="1" a="1"/>
  <c r="V33" i="84" s="1"/>
  <c r="K32" i="84"/>
  <c r="T32" i="84" s="1"/>
  <c r="U35" i="80" a="1"/>
  <c r="U35" i="80" s="1"/>
  <c r="K16" i="84"/>
  <c r="T16" i="84" s="1"/>
  <c r="L74" i="78"/>
  <c r="K39" i="84"/>
  <c r="T39" i="84" s="1"/>
  <c r="L74" i="77"/>
  <c r="X17" i="84" a="1"/>
  <c r="X17" i="84" s="1"/>
  <c r="L74" i="79"/>
  <c r="K32" i="79" s="1"/>
  <c r="T32" i="79" s="1"/>
  <c r="L74" i="76"/>
  <c r="K21" i="80"/>
  <c r="T21" i="80" s="1"/>
  <c r="K34" i="82"/>
  <c r="T34" i="82" s="1"/>
  <c r="U35" i="82" s="1" a="1"/>
  <c r="U35" i="82" s="1"/>
  <c r="K27" i="80"/>
  <c r="T27" i="80" s="1"/>
  <c r="K36" i="80"/>
  <c r="T36" i="80" s="1"/>
  <c r="K28" i="80"/>
  <c r="T28" i="80" s="1"/>
  <c r="K18" i="82"/>
  <c r="K41" i="87"/>
  <c r="T41" i="87" s="1"/>
  <c r="X41" i="87" s="1" a="1"/>
  <c r="X41" i="87" s="1"/>
  <c r="K26" i="84"/>
  <c r="T26" i="84" s="1"/>
  <c r="F19" i="89"/>
  <c r="K34" i="84"/>
  <c r="T34" i="84" s="1"/>
  <c r="X34" i="84" s="1" a="1"/>
  <c r="X34" i="84" s="1"/>
  <c r="K35" i="84"/>
  <c r="T35" i="84" s="1"/>
  <c r="X35" i="84" s="1" a="1"/>
  <c r="X35" i="84" s="1"/>
  <c r="K25" i="84"/>
  <c r="T25" i="84" s="1"/>
  <c r="N8" i="80"/>
  <c r="P57" i="80"/>
  <c r="L50" i="87"/>
  <c r="K28" i="84"/>
  <c r="T28" i="84" s="1"/>
  <c r="X28" i="84" s="1" a="1"/>
  <c r="X28" i="84" s="1"/>
  <c r="K15" i="84"/>
  <c r="T15" i="84" s="1"/>
  <c r="X15" i="84" s="1" a="1"/>
  <c r="X15" i="84" s="1"/>
  <c r="E8" i="84"/>
  <c r="L60" i="87"/>
  <c r="L64" i="87" s="1"/>
  <c r="K27" i="83"/>
  <c r="T27" i="83" s="1"/>
  <c r="X34" i="80" a="1"/>
  <c r="X34" i="80" s="1"/>
  <c r="K21" i="83"/>
  <c r="T21" i="83" s="1"/>
  <c r="V28" i="73" a="1"/>
  <c r="V28" i="73" s="1"/>
  <c r="K43" i="75"/>
  <c r="T43" i="75" s="1"/>
  <c r="W28" i="73" a="1"/>
  <c r="W28" i="73" s="1"/>
  <c r="K36" i="82"/>
  <c r="T36" i="82" s="1"/>
  <c r="X36" i="82" s="1" a="1"/>
  <c r="X36" i="82" s="1"/>
  <c r="K23" i="83"/>
  <c r="T23" i="83" s="1"/>
  <c r="G53" i="82"/>
  <c r="G53" i="77"/>
  <c r="L60" i="83"/>
  <c r="L64" i="83" s="1"/>
  <c r="L73" i="76"/>
  <c r="L60" i="76"/>
  <c r="L64" i="76" s="1"/>
  <c r="L61" i="77"/>
  <c r="L73" i="77" s="1"/>
  <c r="L50" i="76"/>
  <c r="L50" i="86"/>
  <c r="L60" i="77"/>
  <c r="L64" i="77" s="1"/>
  <c r="L61" i="86"/>
  <c r="L65" i="86" s="1"/>
  <c r="L72" i="86"/>
  <c r="L61" i="82"/>
  <c r="L73" i="82" s="1"/>
  <c r="L72" i="76"/>
  <c r="L64" i="82"/>
  <c r="L50" i="82"/>
  <c r="L73" i="84"/>
  <c r="L72" i="77"/>
  <c r="L60" i="73"/>
  <c r="L61" i="73"/>
  <c r="L61" i="75"/>
  <c r="L65" i="75" s="1"/>
  <c r="L50" i="73"/>
  <c r="L60" i="75"/>
  <c r="L64" i="75" s="1"/>
  <c r="E8" i="81"/>
  <c r="Y29" i="73" a="1"/>
  <c r="Y29" i="73" s="1"/>
  <c r="F25" i="89"/>
  <c r="L73" i="81"/>
  <c r="L65" i="81"/>
  <c r="K25" i="86"/>
  <c r="T25" i="86" s="1"/>
  <c r="U26" i="86" s="1" a="1"/>
  <c r="U26" i="86" s="1"/>
  <c r="K39" i="75"/>
  <c r="T39" i="75" s="1"/>
  <c r="Y40" i="75" s="1" a="1"/>
  <c r="Y40" i="75" s="1"/>
  <c r="K41" i="73"/>
  <c r="T41" i="73" s="1"/>
  <c r="K39" i="73"/>
  <c r="T39" i="73" s="1"/>
  <c r="K21" i="73"/>
  <c r="T21" i="73" s="1"/>
  <c r="K30" i="83"/>
  <c r="T30" i="83" s="1"/>
  <c r="X30" i="83" s="1" a="1"/>
  <c r="X30" i="83" s="1"/>
  <c r="K38" i="92"/>
  <c r="T38" i="92" s="1"/>
  <c r="U39" i="92" s="1" a="1"/>
  <c r="U39" i="92" s="1"/>
  <c r="X28" i="73" a="1"/>
  <c r="X28" i="73" s="1"/>
  <c r="W30" i="84" a="1"/>
  <c r="W30" i="84" s="1"/>
  <c r="W33" i="84" a="1"/>
  <c r="W33" i="84" s="1"/>
  <c r="K43" i="86"/>
  <c r="T43" i="86" s="1"/>
  <c r="K34" i="92"/>
  <c r="T34" i="92" s="1"/>
  <c r="Y35" i="92" s="1" a="1"/>
  <c r="Y35" i="92" s="1"/>
  <c r="K37" i="75"/>
  <c r="T37" i="75" s="1"/>
  <c r="U38" i="75" s="1" a="1"/>
  <c r="U38" i="75" s="1"/>
  <c r="K38" i="83"/>
  <c r="T38" i="83" s="1"/>
  <c r="W38" i="83" s="1" a="1"/>
  <c r="W38" i="83" s="1"/>
  <c r="U20" i="84" a="1"/>
  <c r="U20" i="84" s="1"/>
  <c r="U35" i="84" a="1"/>
  <c r="U35" i="84" s="1"/>
  <c r="K18" i="73"/>
  <c r="T18" i="73" s="1"/>
  <c r="K20" i="92"/>
  <c r="T20" i="92" s="1"/>
  <c r="K33" i="75"/>
  <c r="T33" i="75" s="1"/>
  <c r="K22" i="73"/>
  <c r="T22" i="73" s="1"/>
  <c r="V22" i="73" s="1" a="1"/>
  <c r="V22" i="73" s="1"/>
  <c r="K29" i="73"/>
  <c r="T29" i="73" s="1"/>
  <c r="U30" i="73" s="1" a="1"/>
  <c r="U30" i="73" s="1"/>
  <c r="K38" i="86"/>
  <c r="T38" i="86" s="1"/>
  <c r="V38" i="86" s="1" a="1"/>
  <c r="V38" i="86" s="1"/>
  <c r="K29" i="83"/>
  <c r="T29" i="83" s="1"/>
  <c r="Y30" i="83" s="1" a="1"/>
  <c r="Y30" i="83" s="1"/>
  <c r="K16" i="92"/>
  <c r="T16" i="92" s="1"/>
  <c r="Y17" i="92" s="1" a="1"/>
  <c r="Y17" i="92" s="1"/>
  <c r="U29" i="84" a="1"/>
  <c r="U29" i="84" s="1"/>
  <c r="W43" i="84" a="1"/>
  <c r="W43" i="84" s="1"/>
  <c r="K16" i="73"/>
  <c r="T16" i="73" s="1"/>
  <c r="X16" i="73" s="1" a="1"/>
  <c r="X16" i="73" s="1"/>
  <c r="V34" i="80" a="1"/>
  <c r="V34" i="80" s="1"/>
  <c r="K24" i="75"/>
  <c r="T24" i="75" s="1"/>
  <c r="X24" i="75" s="1" a="1"/>
  <c r="X24" i="75" s="1"/>
  <c r="K37" i="83"/>
  <c r="T37" i="83" s="1"/>
  <c r="V37" i="83" s="1" a="1"/>
  <c r="V37" i="83" s="1"/>
  <c r="V18" i="84" a="1"/>
  <c r="V18" i="84" s="1"/>
  <c r="K36" i="86"/>
  <c r="T36" i="86" s="1"/>
  <c r="V36" i="86" s="1" a="1"/>
  <c r="V36" i="86" s="1"/>
  <c r="K16" i="86"/>
  <c r="K23" i="75"/>
  <c r="T23" i="75" s="1"/>
  <c r="K32" i="86"/>
  <c r="T32" i="86" s="1"/>
  <c r="K22" i="86"/>
  <c r="T22" i="86" s="1"/>
  <c r="V22" i="86" s="1" a="1"/>
  <c r="V22" i="86" s="1"/>
  <c r="K40" i="86"/>
  <c r="T40" i="86" s="1"/>
  <c r="U41" i="86" s="1" a="1"/>
  <c r="U41" i="86" s="1"/>
  <c r="K22" i="87"/>
  <c r="T22" i="87" s="1"/>
  <c r="U23" i="87" s="1" a="1"/>
  <c r="U23" i="87" s="1"/>
  <c r="K21" i="87"/>
  <c r="T21" i="87" s="1"/>
  <c r="U22" i="87" s="1" a="1"/>
  <c r="U22" i="87" s="1"/>
  <c r="K33" i="87"/>
  <c r="T33" i="87" s="1"/>
  <c r="W33" i="87" s="1" a="1"/>
  <c r="W33" i="87" s="1"/>
  <c r="K27" i="87"/>
  <c r="T27" i="87" s="1"/>
  <c r="K26" i="75"/>
  <c r="T26" i="75" s="1"/>
  <c r="K25" i="75"/>
  <c r="T25" i="75" s="1"/>
  <c r="K40" i="75"/>
  <c r="T40" i="75" s="1"/>
  <c r="W40" i="75" s="1" a="1"/>
  <c r="W40" i="75" s="1"/>
  <c r="K21" i="86"/>
  <c r="T21" i="86" s="1"/>
  <c r="Y22" i="86" s="1" a="1"/>
  <c r="Y22" i="86" s="1"/>
  <c r="K33" i="83"/>
  <c r="T33" i="83" s="1"/>
  <c r="W33" i="83" s="1" a="1"/>
  <c r="W33" i="83" s="1"/>
  <c r="K35" i="83"/>
  <c r="T35" i="83" s="1"/>
  <c r="V35" i="83" s="1" a="1"/>
  <c r="V35" i="83" s="1"/>
  <c r="K41" i="83"/>
  <c r="T41" i="83" s="1"/>
  <c r="U42" i="83" s="1" a="1"/>
  <c r="U42" i="83" s="1"/>
  <c r="K31" i="83"/>
  <c r="T31" i="83" s="1"/>
  <c r="X18" i="84" a="1"/>
  <c r="X18" i="84" s="1"/>
  <c r="U16" i="84" a="1"/>
  <c r="U16" i="84" s="1"/>
  <c r="K19" i="82"/>
  <c r="T19" i="82" s="1"/>
  <c r="K33" i="82"/>
  <c r="T33" i="82" s="1"/>
  <c r="K39" i="82"/>
  <c r="T39" i="82" s="1"/>
  <c r="K43" i="82"/>
  <c r="T43" i="82" s="1"/>
  <c r="K14" i="82"/>
  <c r="T14" i="82" s="1"/>
  <c r="K28" i="82"/>
  <c r="T28" i="82" s="1"/>
  <c r="K35" i="82"/>
  <c r="T35" i="82" s="1"/>
  <c r="K40" i="82"/>
  <c r="T40" i="82" s="1"/>
  <c r="K25" i="82"/>
  <c r="T25" i="82" s="1"/>
  <c r="K15" i="82"/>
  <c r="T15" i="82" s="1"/>
  <c r="K23" i="82"/>
  <c r="T23" i="82" s="1"/>
  <c r="K41" i="82"/>
  <c r="T41" i="82" s="1"/>
  <c r="K16" i="82"/>
  <c r="T16" i="82" s="1"/>
  <c r="K31" i="82"/>
  <c r="T31" i="82" s="1"/>
  <c r="K21" i="82"/>
  <c r="T21" i="82" s="1"/>
  <c r="K38" i="82"/>
  <c r="T38" i="82" s="1"/>
  <c r="K20" i="82"/>
  <c r="T20" i="82" s="1"/>
  <c r="K26" i="82"/>
  <c r="T26" i="82" s="1"/>
  <c r="K37" i="82"/>
  <c r="T37" i="82" s="1"/>
  <c r="K32" i="82"/>
  <c r="T32" i="82" s="1"/>
  <c r="K17" i="82"/>
  <c r="T17" i="82" s="1"/>
  <c r="K27" i="82"/>
  <c r="T27" i="82" s="1"/>
  <c r="K42" i="82"/>
  <c r="T42" i="82" s="1"/>
  <c r="K29" i="82"/>
  <c r="T29" i="82" s="1"/>
  <c r="W17" i="73" a="1"/>
  <c r="W17" i="73" s="1"/>
  <c r="Y18" i="73" a="1"/>
  <c r="Y18" i="73" s="1"/>
  <c r="L64" i="79"/>
  <c r="U42" i="84" a="1"/>
  <c r="U42" i="84" s="1"/>
  <c r="W41" i="84" a="1"/>
  <c r="W41" i="84" s="1"/>
  <c r="L65" i="83"/>
  <c r="L73" i="83"/>
  <c r="K30" i="86"/>
  <c r="T30" i="86" s="1"/>
  <c r="K31" i="75"/>
  <c r="T31" i="75" s="1"/>
  <c r="U32" i="75" s="1" a="1"/>
  <c r="U32" i="75" s="1"/>
  <c r="K29" i="75"/>
  <c r="T29" i="75" s="1"/>
  <c r="X29" i="75" s="1" a="1"/>
  <c r="X29" i="75" s="1"/>
  <c r="K34" i="86"/>
  <c r="T34" i="86" s="1"/>
  <c r="W34" i="86" s="1" a="1"/>
  <c r="W34" i="86" s="1"/>
  <c r="K39" i="83"/>
  <c r="T39" i="83" s="1"/>
  <c r="Y40" i="83" s="1" a="1"/>
  <c r="Y40" i="83" s="1"/>
  <c r="K19" i="83"/>
  <c r="T19" i="83" s="1"/>
  <c r="U20" i="83" s="1" a="1"/>
  <c r="U20" i="83" s="1"/>
  <c r="K18" i="83"/>
  <c r="T18" i="83" s="1"/>
  <c r="Y19" i="84" a="1"/>
  <c r="Y19" i="84" s="1"/>
  <c r="K24" i="86"/>
  <c r="T24" i="86" s="1"/>
  <c r="K17" i="86"/>
  <c r="T17" i="86" s="1"/>
  <c r="W17" i="86" s="1" a="1"/>
  <c r="W17" i="86" s="1"/>
  <c r="K26" i="86"/>
  <c r="T26" i="86" s="1"/>
  <c r="U27" i="86" s="1" a="1"/>
  <c r="U27" i="86" s="1"/>
  <c r="K18" i="87"/>
  <c r="T18" i="87" s="1"/>
  <c r="X18" i="87" s="1" a="1"/>
  <c r="X18" i="87" s="1"/>
  <c r="K14" i="87"/>
  <c r="K28" i="87"/>
  <c r="T28" i="87" s="1"/>
  <c r="X28" i="87" s="1" a="1"/>
  <c r="X28" i="87" s="1"/>
  <c r="K23" i="87"/>
  <c r="T23" i="87" s="1"/>
  <c r="K38" i="75"/>
  <c r="T38" i="75" s="1"/>
  <c r="K21" i="75"/>
  <c r="T21" i="75" s="1"/>
  <c r="K43" i="83"/>
  <c r="T43" i="83" s="1"/>
  <c r="X43" i="83" s="1" a="1"/>
  <c r="X43" i="83" s="1"/>
  <c r="K34" i="83"/>
  <c r="T34" i="83" s="1"/>
  <c r="Y35" i="83" s="1" a="1"/>
  <c r="Y35" i="83" s="1"/>
  <c r="K32" i="83"/>
  <c r="T32" i="83" s="1"/>
  <c r="W32" i="83" s="1" a="1"/>
  <c r="W32" i="83" s="1"/>
  <c r="K26" i="83"/>
  <c r="T26" i="83" s="1"/>
  <c r="X26" i="83" s="1" a="1"/>
  <c r="X26" i="83" s="1"/>
  <c r="W18" i="84" a="1"/>
  <c r="W18" i="84" s="1"/>
  <c r="V15" i="84" a="1"/>
  <c r="V15" i="84" s="1"/>
  <c r="V16" i="73" a="1"/>
  <c r="V16" i="73" s="1"/>
  <c r="U17" i="73" a="1"/>
  <c r="U17" i="73" s="1"/>
  <c r="Y17" i="73" a="1"/>
  <c r="Y17" i="73" s="1"/>
  <c r="L65" i="79"/>
  <c r="L73" i="79"/>
  <c r="W16" i="84" a="1"/>
  <c r="W16" i="84" s="1"/>
  <c r="K44" i="86"/>
  <c r="T44" i="86" s="1"/>
  <c r="K20" i="86"/>
  <c r="T20" i="86" s="1"/>
  <c r="K17" i="75"/>
  <c r="T17" i="75" s="1"/>
  <c r="K18" i="75"/>
  <c r="T18" i="75" s="1"/>
  <c r="K14" i="75"/>
  <c r="T14" i="75" s="1"/>
  <c r="K15" i="75"/>
  <c r="T15" i="75" s="1"/>
  <c r="K16" i="75"/>
  <c r="T16" i="75" s="1"/>
  <c r="U32" i="84" a="1"/>
  <c r="U32" i="84" s="1"/>
  <c r="Y32" i="84" a="1"/>
  <c r="Y32" i="84" s="1"/>
  <c r="U33" i="84" a="1"/>
  <c r="U33" i="84" s="1"/>
  <c r="V32" i="84" a="1"/>
  <c r="V32" i="84" s="1"/>
  <c r="W32" i="84" a="1"/>
  <c r="W32" i="84" s="1"/>
  <c r="E8" i="73"/>
  <c r="K18" i="86"/>
  <c r="T18" i="86" s="1"/>
  <c r="X18" i="86" s="1" a="1"/>
  <c r="X18" i="86" s="1"/>
  <c r="K39" i="86"/>
  <c r="T39" i="86" s="1"/>
  <c r="Y40" i="86" s="1" a="1"/>
  <c r="Y40" i="86" s="1"/>
  <c r="K17" i="87"/>
  <c r="T17" i="87" s="1"/>
  <c r="Y18" i="87" s="1" a="1"/>
  <c r="Y18" i="87" s="1"/>
  <c r="K34" i="87"/>
  <c r="T34" i="87" s="1"/>
  <c r="K24" i="87"/>
  <c r="T24" i="87" s="1"/>
  <c r="K19" i="87"/>
  <c r="T19" i="87" s="1"/>
  <c r="W19" i="87" s="1" a="1"/>
  <c r="W19" i="87" s="1"/>
  <c r="K22" i="75"/>
  <c r="T22" i="75" s="1"/>
  <c r="X22" i="75" s="1" a="1"/>
  <c r="X22" i="75" s="1"/>
  <c r="K42" i="75"/>
  <c r="T42" i="75" s="1"/>
  <c r="V42" i="75" s="1" a="1"/>
  <c r="V42" i="75" s="1"/>
  <c r="K20" i="75"/>
  <c r="T20" i="75" s="1"/>
  <c r="X20" i="75" s="1" a="1"/>
  <c r="X20" i="75" s="1"/>
  <c r="K42" i="83"/>
  <c r="T42" i="83" s="1"/>
  <c r="W42" i="83" s="1" a="1"/>
  <c r="W42" i="83" s="1"/>
  <c r="K25" i="83"/>
  <c r="T25" i="83" s="1"/>
  <c r="X25" i="83" s="1" a="1"/>
  <c r="X25" i="83" s="1"/>
  <c r="K22" i="83"/>
  <c r="T22" i="83" s="1"/>
  <c r="K15" i="83"/>
  <c r="T15" i="83" s="1"/>
  <c r="X31" i="84" a="1"/>
  <c r="X31" i="84" s="1"/>
  <c r="Y16" i="84" a="1"/>
  <c r="Y16" i="84" s="1"/>
  <c r="X21" i="84" a="1"/>
  <c r="X21" i="84" s="1"/>
  <c r="U38" i="84" a="1"/>
  <c r="U38" i="84" s="1"/>
  <c r="Y38" i="84" a="1"/>
  <c r="Y38" i="84" s="1"/>
  <c r="V37" i="84" a="1"/>
  <c r="V37" i="84" s="1"/>
  <c r="X37" i="84" a="1"/>
  <c r="X37" i="84" s="1"/>
  <c r="W37" i="84" a="1"/>
  <c r="W37" i="84" s="1"/>
  <c r="K15" i="86"/>
  <c r="T15" i="86" s="1"/>
  <c r="K14" i="86"/>
  <c r="T14" i="86" s="1"/>
  <c r="E8" i="83"/>
  <c r="K28" i="86"/>
  <c r="T28" i="86" s="1"/>
  <c r="W15" i="84" a="1"/>
  <c r="W15" i="84" s="1"/>
  <c r="E8" i="92"/>
  <c r="K35" i="86"/>
  <c r="T35" i="86" s="1"/>
  <c r="K19" i="86"/>
  <c r="T19" i="86" s="1"/>
  <c r="Y20" i="86" s="1" a="1"/>
  <c r="Y20" i="86" s="1"/>
  <c r="D21" i="89"/>
  <c r="K29" i="87"/>
  <c r="T29" i="87" s="1"/>
  <c r="X29" i="87" s="1" a="1"/>
  <c r="X29" i="87" s="1"/>
  <c r="K26" i="87"/>
  <c r="T26" i="87" s="1"/>
  <c r="Y27" i="87" s="1" a="1"/>
  <c r="Y27" i="87" s="1"/>
  <c r="K20" i="87"/>
  <c r="T20" i="87" s="1"/>
  <c r="K15" i="87"/>
  <c r="T15" i="87" s="1"/>
  <c r="U16" i="87" s="1" a="1"/>
  <c r="U16" i="87" s="1"/>
  <c r="K19" i="75"/>
  <c r="K36" i="75"/>
  <c r="T36" i="75" s="1"/>
  <c r="K34" i="75"/>
  <c r="T34" i="75" s="1"/>
  <c r="W34" i="75" s="1" a="1"/>
  <c r="W34" i="75" s="1"/>
  <c r="K27" i="86"/>
  <c r="T27" i="86" s="1"/>
  <c r="V27" i="86" s="1" a="1"/>
  <c r="V27" i="86" s="1"/>
  <c r="K24" i="83"/>
  <c r="T24" i="83" s="1"/>
  <c r="U25" i="83" s="1" a="1"/>
  <c r="U25" i="83" s="1"/>
  <c r="K14" i="83"/>
  <c r="T14" i="83" s="1"/>
  <c r="K16" i="83"/>
  <c r="T16" i="83" s="1"/>
  <c r="V31" i="84" a="1"/>
  <c r="V31" i="84" s="1"/>
  <c r="X32" i="84" a="1"/>
  <c r="X32" i="84" s="1"/>
  <c r="Y29" i="84" a="1"/>
  <c r="Y29" i="84" s="1"/>
  <c r="X20" i="84" a="1"/>
  <c r="X20" i="84" s="1"/>
  <c r="U22" i="84" a="1"/>
  <c r="U22" i="84" s="1"/>
  <c r="Y20" i="84" a="1"/>
  <c r="Y20" i="84" s="1"/>
  <c r="V19" i="84" a="1"/>
  <c r="V19" i="84" s="1"/>
  <c r="W19" i="84" a="1"/>
  <c r="W19" i="84" s="1"/>
  <c r="W36" i="84" a="1"/>
  <c r="W36" i="84" s="1"/>
  <c r="U37" i="84" a="1"/>
  <c r="U37" i="84" s="1"/>
  <c r="V36" i="84" a="1"/>
  <c r="V36" i="84" s="1"/>
  <c r="X36" i="84" a="1"/>
  <c r="X36" i="84" s="1"/>
  <c r="Y37" i="84" a="1"/>
  <c r="Y37" i="84" s="1"/>
  <c r="E8" i="78"/>
  <c r="V43" i="84" a="1"/>
  <c r="V43" i="84" s="1"/>
  <c r="K37" i="86"/>
  <c r="T37" i="86" s="1"/>
  <c r="W37" i="86" s="1" a="1"/>
  <c r="W37" i="86" s="1"/>
  <c r="K40" i="83"/>
  <c r="T40" i="83" s="1"/>
  <c r="Y41" i="83" s="1" a="1"/>
  <c r="Y41" i="83" s="1"/>
  <c r="K42" i="86"/>
  <c r="T42" i="86" s="1"/>
  <c r="E8" i="87"/>
  <c r="K33" i="86"/>
  <c r="T33" i="86" s="1"/>
  <c r="K23" i="86"/>
  <c r="T23" i="86" s="1"/>
  <c r="K31" i="86"/>
  <c r="T31" i="86" s="1"/>
  <c r="X31" i="86" s="1" a="1"/>
  <c r="X31" i="86" s="1"/>
  <c r="K25" i="87"/>
  <c r="T25" i="87" s="1"/>
  <c r="V25" i="87" s="1" a="1"/>
  <c r="V25" i="87" s="1"/>
  <c r="K40" i="87"/>
  <c r="T40" i="87" s="1"/>
  <c r="U41" i="87" s="1" a="1"/>
  <c r="U41" i="87" s="1"/>
  <c r="K16" i="87"/>
  <c r="T16" i="87" s="1"/>
  <c r="K41" i="75"/>
  <c r="T41" i="75" s="1"/>
  <c r="K32" i="75"/>
  <c r="T32" i="75" s="1"/>
  <c r="K27" i="75"/>
  <c r="T27" i="75" s="1"/>
  <c r="K29" i="86"/>
  <c r="T29" i="86" s="1"/>
  <c r="Y30" i="86" s="1" a="1"/>
  <c r="Y30" i="86" s="1"/>
  <c r="K20" i="83"/>
  <c r="T20" i="83" s="1"/>
  <c r="X20" i="83" s="1" a="1"/>
  <c r="X20" i="83" s="1"/>
  <c r="K17" i="83"/>
  <c r="T17" i="83" s="1"/>
  <c r="V17" i="83" s="1" a="1"/>
  <c r="V17" i="83" s="1"/>
  <c r="V28" i="84" a="1"/>
  <c r="V28" i="84" s="1"/>
  <c r="Y31" i="84" a="1"/>
  <c r="Y31" i="84" s="1"/>
  <c r="Y33" i="84" a="1"/>
  <c r="Y33" i="84" s="1"/>
  <c r="W28" i="84" a="1"/>
  <c r="W28" i="84" s="1"/>
  <c r="L65" i="78"/>
  <c r="L73" i="78"/>
  <c r="K21" i="92"/>
  <c r="T21" i="92" s="1"/>
  <c r="K32" i="92"/>
  <c r="T32" i="92" s="1"/>
  <c r="K36" i="92"/>
  <c r="T36" i="92" s="1"/>
  <c r="K15" i="92"/>
  <c r="T15" i="92" s="1"/>
  <c r="K22" i="92"/>
  <c r="T22" i="92" s="1"/>
  <c r="K41" i="92"/>
  <c r="T41" i="92" s="1"/>
  <c r="K23" i="92"/>
  <c r="T23" i="92" s="1"/>
  <c r="K27" i="92"/>
  <c r="T27" i="92" s="1"/>
  <c r="K17" i="92"/>
  <c r="T17" i="92" s="1"/>
  <c r="K37" i="92"/>
  <c r="T37" i="92" s="1"/>
  <c r="K43" i="92"/>
  <c r="T43" i="92" s="1"/>
  <c r="K30" i="92"/>
  <c r="T30" i="92" s="1"/>
  <c r="K39" i="92"/>
  <c r="T39" i="92" s="1"/>
  <c r="K31" i="92"/>
  <c r="T31" i="92" s="1"/>
  <c r="K33" i="92"/>
  <c r="T33" i="92" s="1"/>
  <c r="K19" i="92"/>
  <c r="T19" i="92" s="1"/>
  <c r="K35" i="92"/>
  <c r="T35" i="92" s="1"/>
  <c r="K42" i="92"/>
  <c r="T42" i="92" s="1"/>
  <c r="K18" i="92"/>
  <c r="T18" i="92" s="1"/>
  <c r="K40" i="92"/>
  <c r="T40" i="92" s="1"/>
  <c r="K24" i="92"/>
  <c r="T24" i="92" s="1"/>
  <c r="K26" i="92"/>
  <c r="T26" i="92" s="1"/>
  <c r="K25" i="92"/>
  <c r="T25" i="92" s="1"/>
  <c r="K44" i="92"/>
  <c r="T44" i="92" s="1"/>
  <c r="K14" i="92"/>
  <c r="K29" i="92"/>
  <c r="T29" i="92" s="1"/>
  <c r="U36" i="84" a="1"/>
  <c r="U36" i="84" s="1"/>
  <c r="W35" i="84" a="1"/>
  <c r="W35" i="84" s="1"/>
  <c r="Y36" i="84" a="1"/>
  <c r="Y36" i="84" s="1"/>
  <c r="U26" i="84" a="1"/>
  <c r="U26" i="84" s="1"/>
  <c r="V25" i="84" a="1"/>
  <c r="V25" i="84" s="1"/>
  <c r="W25" i="84" a="1"/>
  <c r="W25" i="84" s="1"/>
  <c r="Y26" i="84" a="1"/>
  <c r="Y26" i="84" s="1"/>
  <c r="X25" i="84" a="1"/>
  <c r="X25" i="84" s="1"/>
  <c r="V20" i="80" a="1"/>
  <c r="V20" i="80" s="1"/>
  <c r="W20" i="80" a="1"/>
  <c r="W20" i="80" s="1"/>
  <c r="X20" i="80" a="1"/>
  <c r="X20" i="80" s="1"/>
  <c r="U21" i="80" a="1"/>
  <c r="U21" i="80" s="1"/>
  <c r="Y21" i="80" a="1"/>
  <c r="Y21" i="80" s="1"/>
  <c r="V41" i="73" a="1"/>
  <c r="V41" i="73" s="1"/>
  <c r="X41" i="73" a="1"/>
  <c r="X41" i="73" s="1"/>
  <c r="W41" i="73" a="1"/>
  <c r="W41" i="73" s="1"/>
  <c r="V20" i="86" a="1"/>
  <c r="V20" i="86" s="1"/>
  <c r="W20" i="86" a="1"/>
  <c r="W20" i="86" s="1"/>
  <c r="Y21" i="86" a="1"/>
  <c r="Y21" i="86" s="1"/>
  <c r="X20" i="86" a="1"/>
  <c r="X20" i="86" s="1"/>
  <c r="U21" i="86" a="1"/>
  <c r="U21" i="86" s="1"/>
  <c r="U25" i="80" a="1"/>
  <c r="U25" i="80" s="1"/>
  <c r="X24" i="80" a="1"/>
  <c r="X24" i="80" s="1"/>
  <c r="Y25" i="80" a="1"/>
  <c r="Y25" i="80" s="1"/>
  <c r="W24" i="80" a="1"/>
  <c r="W24" i="80" s="1"/>
  <c r="V24" i="80" a="1"/>
  <c r="V24" i="80" s="1"/>
  <c r="X30" i="87" a="1"/>
  <c r="X30" i="87" s="1"/>
  <c r="Y31" i="87" a="1"/>
  <c r="Y31" i="87" s="1"/>
  <c r="U31" i="87" a="1"/>
  <c r="U31" i="87" s="1"/>
  <c r="V30" i="87" a="1"/>
  <c r="V30" i="87" s="1"/>
  <c r="W30" i="87" a="1"/>
  <c r="W30" i="87" s="1"/>
  <c r="W28" i="75" a="1"/>
  <c r="W28" i="75" s="1"/>
  <c r="U29" i="75" a="1"/>
  <c r="U29" i="75" s="1"/>
  <c r="V28" i="75" a="1"/>
  <c r="V28" i="75" s="1"/>
  <c r="Y29" i="75" a="1"/>
  <c r="Y29" i="75" s="1"/>
  <c r="X28" i="75" a="1"/>
  <c r="X28" i="75" s="1"/>
  <c r="X26" i="73" a="1"/>
  <c r="X26" i="73" s="1"/>
  <c r="V26" i="73" a="1"/>
  <c r="V26" i="73" s="1"/>
  <c r="U27" i="73" a="1"/>
  <c r="U27" i="73" s="1"/>
  <c r="W26" i="73" a="1"/>
  <c r="W26" i="73" s="1"/>
  <c r="Y27" i="73" a="1"/>
  <c r="Y27" i="73" s="1"/>
  <c r="U23" i="75" a="1"/>
  <c r="U23" i="75" s="1"/>
  <c r="W22" i="75" a="1"/>
  <c r="W22" i="75" s="1"/>
  <c r="V22" i="75" a="1"/>
  <c r="V22" i="75" s="1"/>
  <c r="Y23" i="75" a="1"/>
  <c r="Y23" i="75" s="1"/>
  <c r="W20" i="75" a="1"/>
  <c r="W20" i="75" s="1"/>
  <c r="X22" i="73" a="1"/>
  <c r="X22" i="73" s="1"/>
  <c r="Y23" i="73" a="1"/>
  <c r="Y23" i="73" s="1"/>
  <c r="W22" i="73" a="1"/>
  <c r="W22" i="73" s="1"/>
  <c r="U42" i="86" a="1"/>
  <c r="U42" i="86" s="1"/>
  <c r="W41" i="86" a="1"/>
  <c r="W41" i="86" s="1"/>
  <c r="V41" i="86" a="1"/>
  <c r="V41" i="86" s="1"/>
  <c r="X41" i="86" a="1"/>
  <c r="X41" i="86" s="1"/>
  <c r="Y42" i="86" a="1"/>
  <c r="Y42" i="86" s="1"/>
  <c r="U24" i="84" a="1"/>
  <c r="U24" i="84" s="1"/>
  <c r="V42" i="83" a="1"/>
  <c r="V42" i="83" s="1"/>
  <c r="X42" i="83" a="1"/>
  <c r="X42" i="83" s="1"/>
  <c r="X22" i="83" a="1"/>
  <c r="X22" i="83" s="1"/>
  <c r="Y23" i="83" a="1"/>
  <c r="Y23" i="83" s="1"/>
  <c r="U23" i="83" a="1"/>
  <c r="U23" i="83" s="1"/>
  <c r="W22" i="83" a="1"/>
  <c r="W22" i="83" s="1"/>
  <c r="V22" i="83" a="1"/>
  <c r="V22" i="83" s="1"/>
  <c r="X15" i="83" a="1"/>
  <c r="X15" i="83" s="1"/>
  <c r="W15" i="83" a="1"/>
  <c r="W15" i="83" s="1"/>
  <c r="U16" i="83" a="1"/>
  <c r="U16" i="83" s="1"/>
  <c r="V15" i="83" a="1"/>
  <c r="V15" i="83" s="1"/>
  <c r="Y16" i="83" a="1"/>
  <c r="Y16" i="83" s="1"/>
  <c r="K15" i="91"/>
  <c r="T15" i="91" s="1"/>
  <c r="K28" i="91"/>
  <c r="T28" i="91" s="1"/>
  <c r="K14" i="91"/>
  <c r="K21" i="91"/>
  <c r="T21" i="91" s="1"/>
  <c r="K26" i="91"/>
  <c r="T26" i="91" s="1"/>
  <c r="K31" i="91"/>
  <c r="T31" i="91" s="1"/>
  <c r="K36" i="91"/>
  <c r="T36" i="91" s="1"/>
  <c r="K40" i="91"/>
  <c r="T40" i="91" s="1"/>
  <c r="K18" i="91"/>
  <c r="T18" i="91" s="1"/>
  <c r="K16" i="91"/>
  <c r="T16" i="91" s="1"/>
  <c r="K39" i="91"/>
  <c r="T39" i="91" s="1"/>
  <c r="K25" i="91"/>
  <c r="T25" i="91" s="1"/>
  <c r="K34" i="91"/>
  <c r="T34" i="91" s="1"/>
  <c r="K41" i="91"/>
  <c r="T41" i="91" s="1"/>
  <c r="K17" i="91"/>
  <c r="T17" i="91" s="1"/>
  <c r="K27" i="91"/>
  <c r="T27" i="91" s="1"/>
  <c r="K20" i="91"/>
  <c r="T20" i="91" s="1"/>
  <c r="K35" i="91"/>
  <c r="T35" i="91" s="1"/>
  <c r="K24" i="91"/>
  <c r="T24" i="91" s="1"/>
  <c r="K38" i="91"/>
  <c r="T38" i="91" s="1"/>
  <c r="K23" i="91"/>
  <c r="T23" i="91" s="1"/>
  <c r="K29" i="91"/>
  <c r="T29" i="91" s="1"/>
  <c r="K22" i="91"/>
  <c r="T22" i="91" s="1"/>
  <c r="K30" i="91"/>
  <c r="T30" i="91" s="1"/>
  <c r="K33" i="91"/>
  <c r="T33" i="91" s="1"/>
  <c r="K37" i="91"/>
  <c r="T37" i="91" s="1"/>
  <c r="K32" i="91"/>
  <c r="T32" i="91" s="1"/>
  <c r="K19" i="91"/>
  <c r="T19" i="91" s="1"/>
  <c r="U44" i="86" a="1"/>
  <c r="U44" i="86" s="1"/>
  <c r="Y44" i="86" a="1"/>
  <c r="Y44" i="86" s="1"/>
  <c r="W43" i="86" a="1"/>
  <c r="W43" i="86" s="1"/>
  <c r="X43" i="86" a="1"/>
  <c r="X43" i="86" s="1"/>
  <c r="V43" i="86" a="1"/>
  <c r="V43" i="86" s="1"/>
  <c r="W44" i="80" a="1"/>
  <c r="W44" i="80" s="1"/>
  <c r="X39" i="73" a="1"/>
  <c r="X39" i="73" s="1"/>
  <c r="Y40" i="73" a="1"/>
  <c r="Y40" i="73" s="1"/>
  <c r="V39" i="73" a="1"/>
  <c r="V39" i="73" s="1"/>
  <c r="U40" i="73" a="1"/>
  <c r="U40" i="73" s="1"/>
  <c r="W39" i="73" a="1"/>
  <c r="W39" i="73" s="1"/>
  <c r="X41" i="83" a="1"/>
  <c r="X41" i="83" s="1"/>
  <c r="L64" i="91"/>
  <c r="L72" i="91"/>
  <c r="V44" i="86" a="1"/>
  <c r="V44" i="86" s="1"/>
  <c r="W44" i="86" a="1"/>
  <c r="W44" i="86" s="1"/>
  <c r="X44" i="86" a="1"/>
  <c r="X44" i="86" s="1"/>
  <c r="T14" i="80"/>
  <c r="U39" i="73" a="1"/>
  <c r="U39" i="73" s="1"/>
  <c r="W38" i="73" a="1"/>
  <c r="W38" i="73" s="1"/>
  <c r="V38" i="73" a="1"/>
  <c r="V38" i="73" s="1"/>
  <c r="Y39" i="73" a="1"/>
  <c r="Y39" i="73" s="1"/>
  <c r="X38" i="73" a="1"/>
  <c r="X38" i="73" s="1"/>
  <c r="X20" i="73" a="1"/>
  <c r="X20" i="73" s="1"/>
  <c r="Y21" i="73" a="1"/>
  <c r="Y21" i="73" s="1"/>
  <c r="V20" i="73" a="1"/>
  <c r="V20" i="73" s="1"/>
  <c r="W20" i="73" a="1"/>
  <c r="W20" i="73" s="1"/>
  <c r="U21" i="73" a="1"/>
  <c r="U21" i="73" s="1"/>
  <c r="X29" i="84" a="1"/>
  <c r="X29" i="84" s="1"/>
  <c r="Y30" i="84" a="1"/>
  <c r="Y30" i="84" s="1"/>
  <c r="U30" i="84" a="1"/>
  <c r="U30" i="84" s="1"/>
  <c r="W29" i="84" a="1"/>
  <c r="W29" i="84" s="1"/>
  <c r="V29" i="84" a="1"/>
  <c r="V29" i="84" s="1"/>
  <c r="E8" i="82"/>
  <c r="L65" i="92"/>
  <c r="L73" i="92"/>
  <c r="Y24" i="73" a="1"/>
  <c r="Y24" i="73" s="1"/>
  <c r="W23" i="73" a="1"/>
  <c r="W23" i="73" s="1"/>
  <c r="U24" i="73" a="1"/>
  <c r="U24" i="73" s="1"/>
  <c r="V23" i="73" a="1"/>
  <c r="V23" i="73" s="1"/>
  <c r="X23" i="73" a="1"/>
  <c r="X23" i="73" s="1"/>
  <c r="V37" i="86" a="1"/>
  <c r="V37" i="86" s="1"/>
  <c r="V30" i="86" a="1"/>
  <c r="V30" i="86" s="1"/>
  <c r="U31" i="86" a="1"/>
  <c r="U31" i="86" s="1"/>
  <c r="Y31" i="86" a="1"/>
  <c r="Y31" i="86" s="1"/>
  <c r="X30" i="86" a="1"/>
  <c r="X30" i="86" s="1"/>
  <c r="W30" i="86" a="1"/>
  <c r="W30" i="86" s="1"/>
  <c r="T16" i="86"/>
  <c r="W27" i="80" a="1"/>
  <c r="W27" i="80" s="1"/>
  <c r="U28" i="80" a="1"/>
  <c r="U28" i="80" s="1"/>
  <c r="X27" i="80" a="1"/>
  <c r="X27" i="80" s="1"/>
  <c r="Y28" i="80" a="1"/>
  <c r="Y28" i="80" s="1"/>
  <c r="V27" i="80" a="1"/>
  <c r="V27" i="80" s="1"/>
  <c r="V36" i="80" a="1"/>
  <c r="V36" i="80" s="1"/>
  <c r="W36" i="80" a="1"/>
  <c r="W36" i="80" s="1"/>
  <c r="X36" i="80" a="1"/>
  <c r="X36" i="80" s="1"/>
  <c r="Y37" i="80" a="1"/>
  <c r="Y37" i="80" s="1"/>
  <c r="U37" i="80" a="1"/>
  <c r="U37" i="80" s="1"/>
  <c r="V28" i="80" a="1"/>
  <c r="V28" i="80" s="1"/>
  <c r="W28" i="80" a="1"/>
  <c r="W28" i="80" s="1"/>
  <c r="Y29" i="80" a="1"/>
  <c r="Y29" i="80" s="1"/>
  <c r="X28" i="80" a="1"/>
  <c r="X28" i="80" s="1"/>
  <c r="U29" i="80" a="1"/>
  <c r="U29" i="80" s="1"/>
  <c r="W39" i="87" a="1"/>
  <c r="W39" i="87" s="1"/>
  <c r="X39" i="87" a="1"/>
  <c r="X39" i="87" s="1"/>
  <c r="Y40" i="87" a="1"/>
  <c r="Y40" i="87" s="1"/>
  <c r="U40" i="87" a="1"/>
  <c r="U40" i="87" s="1"/>
  <c r="V39" i="87" a="1"/>
  <c r="V39" i="87" s="1"/>
  <c r="U42" i="87" a="1"/>
  <c r="U42" i="87" s="1"/>
  <c r="U43" i="87" a="1"/>
  <c r="U43" i="87" s="1"/>
  <c r="V42" i="87" a="1"/>
  <c r="V42" i="87" s="1"/>
  <c r="X42" i="87" a="1"/>
  <c r="X42" i="87" s="1"/>
  <c r="Y43" i="87" a="1"/>
  <c r="Y43" i="87" s="1"/>
  <c r="W42" i="87" a="1"/>
  <c r="W42" i="87" s="1"/>
  <c r="K15" i="79"/>
  <c r="T15" i="79" s="1"/>
  <c r="K27" i="79"/>
  <c r="T27" i="79" s="1"/>
  <c r="K24" i="79"/>
  <c r="T24" i="79" s="1"/>
  <c r="K30" i="79"/>
  <c r="T30" i="79" s="1"/>
  <c r="K14" i="79"/>
  <c r="K40" i="79"/>
  <c r="T40" i="79" s="1"/>
  <c r="K26" i="79"/>
  <c r="T26" i="79" s="1"/>
  <c r="K28" i="79"/>
  <c r="T28" i="79" s="1"/>
  <c r="K26" i="78"/>
  <c r="T26" i="78" s="1"/>
  <c r="K23" i="78"/>
  <c r="T23" i="78" s="1"/>
  <c r="K18" i="78"/>
  <c r="T18" i="78" s="1"/>
  <c r="K21" i="78"/>
  <c r="T21" i="78" s="1"/>
  <c r="K33" i="78"/>
  <c r="T33" i="78" s="1"/>
  <c r="K41" i="78"/>
  <c r="T41" i="78" s="1"/>
  <c r="K44" i="78"/>
  <c r="T44" i="78" s="1"/>
  <c r="K36" i="78"/>
  <c r="T36" i="78" s="1"/>
  <c r="K39" i="78"/>
  <c r="T39" i="78" s="1"/>
  <c r="K16" i="78"/>
  <c r="T16" i="78" s="1"/>
  <c r="K27" i="78"/>
  <c r="T27" i="78" s="1"/>
  <c r="K30" i="78"/>
  <c r="T30" i="78" s="1"/>
  <c r="K14" i="78"/>
  <c r="K20" i="78"/>
  <c r="T20" i="78" s="1"/>
  <c r="K24" i="78"/>
  <c r="T24" i="78" s="1"/>
  <c r="K28" i="78"/>
  <c r="T28" i="78" s="1"/>
  <c r="K31" i="78"/>
  <c r="T31" i="78" s="1"/>
  <c r="K34" i="78"/>
  <c r="T34" i="78" s="1"/>
  <c r="K37" i="78"/>
  <c r="T37" i="78" s="1"/>
  <c r="K40" i="78"/>
  <c r="T40" i="78" s="1"/>
  <c r="K15" i="78"/>
  <c r="T15" i="78" s="1"/>
  <c r="K29" i="78"/>
  <c r="T29" i="78" s="1"/>
  <c r="K35" i="78"/>
  <c r="T35" i="78" s="1"/>
  <c r="K22" i="78"/>
  <c r="T22" i="78" s="1"/>
  <c r="K17" i="78"/>
  <c r="T17" i="78" s="1"/>
  <c r="K42" i="78"/>
  <c r="T42" i="78" s="1"/>
  <c r="K19" i="78"/>
  <c r="T19" i="78" s="1"/>
  <c r="K38" i="78"/>
  <c r="T38" i="78" s="1"/>
  <c r="K25" i="78"/>
  <c r="T25" i="78" s="1"/>
  <c r="K43" i="78"/>
  <c r="T43" i="78" s="1"/>
  <c r="K32" i="78"/>
  <c r="T32" i="78" s="1"/>
  <c r="U33" i="86" a="1"/>
  <c r="U33" i="86" s="1"/>
  <c r="Y33" i="86" a="1"/>
  <c r="Y33" i="86" s="1"/>
  <c r="W32" i="86" a="1"/>
  <c r="W32" i="86" s="1"/>
  <c r="X32" i="86" a="1"/>
  <c r="X32" i="86" s="1"/>
  <c r="V32" i="86" a="1"/>
  <c r="V32" i="86" s="1"/>
  <c r="Y23" i="86" a="1"/>
  <c r="Y23" i="86" s="1"/>
  <c r="X22" i="86" a="1"/>
  <c r="X22" i="86" s="1"/>
  <c r="U23" i="86" a="1"/>
  <c r="U23" i="86" s="1"/>
  <c r="X38" i="80" a="1"/>
  <c r="X38" i="80" s="1"/>
  <c r="Y39" i="80" a="1"/>
  <c r="Y39" i="80" s="1"/>
  <c r="V38" i="80" a="1"/>
  <c r="V38" i="80" s="1"/>
  <c r="U39" i="80" a="1"/>
  <c r="U39" i="80" s="1"/>
  <c r="W38" i="80" a="1"/>
  <c r="W38" i="80" s="1"/>
  <c r="U18" i="80" a="1"/>
  <c r="U18" i="80" s="1"/>
  <c r="X17" i="80" a="1"/>
  <c r="X17" i="80" s="1"/>
  <c r="Y18" i="80" a="1"/>
  <c r="Y18" i="80" s="1"/>
  <c r="W17" i="80" a="1"/>
  <c r="W17" i="80" s="1"/>
  <c r="V17" i="80" a="1"/>
  <c r="V17" i="80" s="1"/>
  <c r="X43" i="80" a="1"/>
  <c r="X43" i="80" s="1"/>
  <c r="Y44" i="80" a="1"/>
  <c r="Y44" i="80" s="1"/>
  <c r="U44" i="80" a="1"/>
  <c r="U44" i="80" s="1"/>
  <c r="W43" i="80" a="1"/>
  <c r="W43" i="80" s="1"/>
  <c r="V43" i="80" a="1"/>
  <c r="V43" i="80" s="1"/>
  <c r="L65" i="80"/>
  <c r="L73" i="80"/>
  <c r="W31" i="87" a="1"/>
  <c r="W31" i="87" s="1"/>
  <c r="X31" i="87" a="1"/>
  <c r="X31" i="87" s="1"/>
  <c r="Y32" i="87" a="1"/>
  <c r="Y32" i="87" s="1"/>
  <c r="U32" i="87" a="1"/>
  <c r="U32" i="87" s="1"/>
  <c r="V31" i="87" a="1"/>
  <c r="V31" i="87" s="1"/>
  <c r="W44" i="87" a="1"/>
  <c r="W44" i="87" s="1"/>
  <c r="V44" i="87" a="1"/>
  <c r="V44" i="87" s="1"/>
  <c r="X44" i="87" a="1"/>
  <c r="X44" i="87" s="1"/>
  <c r="U44" i="87" a="1"/>
  <c r="U44" i="87" s="1"/>
  <c r="X43" i="87" a="1"/>
  <c r="X43" i="87" s="1"/>
  <c r="V43" i="87" a="1"/>
  <c r="V43" i="87" s="1"/>
  <c r="Y44" i="87" a="1"/>
  <c r="Y44" i="87" s="1"/>
  <c r="W43" i="87" a="1"/>
  <c r="W43" i="87" s="1"/>
  <c r="W36" i="87" a="1"/>
  <c r="W36" i="87" s="1"/>
  <c r="Y37" i="87" a="1"/>
  <c r="Y37" i="87" s="1"/>
  <c r="X36" i="87" a="1"/>
  <c r="X36" i="87" s="1"/>
  <c r="V36" i="87" a="1"/>
  <c r="V36" i="87" s="1"/>
  <c r="U37" i="87" a="1"/>
  <c r="U37" i="87" s="1"/>
  <c r="T19" i="75"/>
  <c r="U37" i="75" a="1"/>
  <c r="U37" i="75" s="1"/>
  <c r="V36" i="75" a="1"/>
  <c r="V36" i="75" s="1"/>
  <c r="X36" i="75" a="1"/>
  <c r="X36" i="75" s="1"/>
  <c r="W36" i="75" a="1"/>
  <c r="W36" i="75" s="1"/>
  <c r="Y37" i="75" a="1"/>
  <c r="Y37" i="75" s="1"/>
  <c r="U41" i="73" a="1"/>
  <c r="U41" i="73" s="1"/>
  <c r="X40" i="73" a="1"/>
  <c r="X40" i="73" s="1"/>
  <c r="V40" i="73" a="1"/>
  <c r="V40" i="73" s="1"/>
  <c r="W40" i="73" a="1"/>
  <c r="W40" i="73" s="1"/>
  <c r="Y41" i="73" a="1"/>
  <c r="Y41" i="73" s="1"/>
  <c r="U26" i="73" a="1"/>
  <c r="U26" i="73" s="1"/>
  <c r="V25" i="73" a="1"/>
  <c r="V25" i="73" s="1"/>
  <c r="X25" i="73" a="1"/>
  <c r="X25" i="73" s="1"/>
  <c r="Y26" i="73" a="1"/>
  <c r="Y26" i="73" s="1"/>
  <c r="W25" i="73" a="1"/>
  <c r="W25" i="73" s="1"/>
  <c r="U28" i="86" a="1"/>
  <c r="U28" i="86" s="1"/>
  <c r="X27" i="86" a="1"/>
  <c r="X27" i="86" s="1"/>
  <c r="Y28" i="86" a="1"/>
  <c r="Y28" i="86" s="1"/>
  <c r="X39" i="84" a="1"/>
  <c r="X39" i="84" s="1"/>
  <c r="Y40" i="84" a="1"/>
  <c r="Y40" i="84" s="1"/>
  <c r="V39" i="84" a="1"/>
  <c r="V39" i="84" s="1"/>
  <c r="U40" i="84" a="1"/>
  <c r="U40" i="84" s="1"/>
  <c r="W39" i="84" a="1"/>
  <c r="W39" i="84" s="1"/>
  <c r="V24" i="83" a="1"/>
  <c r="V24" i="83" s="1"/>
  <c r="X24" i="83" a="1"/>
  <c r="X24" i="83" s="1"/>
  <c r="V16" i="83" a="1"/>
  <c r="V16" i="83" s="1"/>
  <c r="X16" i="83" a="1"/>
  <c r="X16" i="83" s="1"/>
  <c r="U17" i="83" a="1"/>
  <c r="U17" i="83" s="1"/>
  <c r="Y17" i="83" a="1"/>
  <c r="Y17" i="83" s="1"/>
  <c r="W16" i="83" a="1"/>
  <c r="W16" i="83" s="1"/>
  <c r="X34" i="92" a="1"/>
  <c r="X34" i="92" s="1"/>
  <c r="X22" i="82" a="1"/>
  <c r="X22" i="82" s="1"/>
  <c r="Y23" i="82" a="1"/>
  <c r="Y23" i="82" s="1"/>
  <c r="V22" i="82" a="1"/>
  <c r="V22" i="82" s="1"/>
  <c r="W22" i="82" a="1"/>
  <c r="W22" i="82" s="1"/>
  <c r="U23" i="82" a="1"/>
  <c r="U23" i="82" s="1"/>
  <c r="W15" i="87" a="1"/>
  <c r="W15" i="87" s="1"/>
  <c r="V15" i="87" a="1"/>
  <c r="V15" i="87" s="1"/>
  <c r="X31" i="83" a="1"/>
  <c r="X31" i="83" s="1"/>
  <c r="Y32" i="83" a="1"/>
  <c r="Y32" i="83" s="1"/>
  <c r="U32" i="83" a="1"/>
  <c r="U32" i="83" s="1"/>
  <c r="W31" i="83" a="1"/>
  <c r="W31" i="83" s="1"/>
  <c r="V31" i="83" a="1"/>
  <c r="V31" i="83" s="1"/>
  <c r="L64" i="92"/>
  <c r="L72" i="92"/>
  <c r="U17" i="80" a="1"/>
  <c r="U17" i="80" s="1"/>
  <c r="X16" i="80" a="1"/>
  <c r="X16" i="80" s="1"/>
  <c r="Y17" i="80" a="1"/>
  <c r="Y17" i="80" s="1"/>
  <c r="V16" i="80" a="1"/>
  <c r="V16" i="80" s="1"/>
  <c r="W16" i="80" a="1"/>
  <c r="W16" i="80" s="1"/>
  <c r="U17" i="87" a="1"/>
  <c r="U17" i="87" s="1"/>
  <c r="W16" i="87" a="1"/>
  <c r="W16" i="87" s="1"/>
  <c r="V16" i="87" a="1"/>
  <c r="V16" i="87" s="1"/>
  <c r="X16" i="87" a="1"/>
  <c r="X16" i="87" s="1"/>
  <c r="Y17" i="87" a="1"/>
  <c r="Y17" i="87" s="1"/>
  <c r="V21" i="75" a="1"/>
  <c r="V21" i="75" s="1"/>
  <c r="W21" i="75" a="1"/>
  <c r="W21" i="75" s="1"/>
  <c r="U22" i="75" a="1"/>
  <c r="U22" i="75" s="1"/>
  <c r="X21" i="75" a="1"/>
  <c r="X21" i="75" s="1"/>
  <c r="Y22" i="75" a="1"/>
  <c r="Y22" i="75" s="1"/>
  <c r="K14" i="76"/>
  <c r="K19" i="76"/>
  <c r="T19" i="76" s="1"/>
  <c r="K24" i="76"/>
  <c r="T24" i="76" s="1"/>
  <c r="K28" i="76"/>
  <c r="T28" i="76" s="1"/>
  <c r="K32" i="76"/>
  <c r="T32" i="76" s="1"/>
  <c r="K36" i="76"/>
  <c r="T36" i="76" s="1"/>
  <c r="K40" i="76"/>
  <c r="T40" i="76" s="1"/>
  <c r="K18" i="76"/>
  <c r="T18" i="76" s="1"/>
  <c r="K15" i="76"/>
  <c r="T15" i="76" s="1"/>
  <c r="K20" i="76"/>
  <c r="T20" i="76" s="1"/>
  <c r="K25" i="76"/>
  <c r="T25" i="76" s="1"/>
  <c r="K29" i="76"/>
  <c r="T29" i="76" s="1"/>
  <c r="K33" i="76"/>
  <c r="T33" i="76" s="1"/>
  <c r="K37" i="76"/>
  <c r="T37" i="76" s="1"/>
  <c r="K41" i="76"/>
  <c r="T41" i="76" s="1"/>
  <c r="K22" i="76"/>
  <c r="T22" i="76" s="1"/>
  <c r="K30" i="76"/>
  <c r="T30" i="76" s="1"/>
  <c r="K38" i="76"/>
  <c r="T38" i="76" s="1"/>
  <c r="K42" i="76"/>
  <c r="T42" i="76" s="1"/>
  <c r="K23" i="76"/>
  <c r="T23" i="76" s="1"/>
  <c r="K31" i="76"/>
  <c r="T31" i="76" s="1"/>
  <c r="K39" i="76"/>
  <c r="T39" i="76" s="1"/>
  <c r="K26" i="76"/>
  <c r="T26" i="76" s="1"/>
  <c r="K43" i="76"/>
  <c r="T43" i="76" s="1"/>
  <c r="K21" i="76"/>
  <c r="T21" i="76" s="1"/>
  <c r="K27" i="76"/>
  <c r="T27" i="76" s="1"/>
  <c r="K44" i="76"/>
  <c r="T44" i="76" s="1"/>
  <c r="K34" i="76"/>
  <c r="T34" i="76" s="1"/>
  <c r="K35" i="76"/>
  <c r="T35" i="76" s="1"/>
  <c r="K16" i="76"/>
  <c r="T16" i="76" s="1"/>
  <c r="K17" i="76"/>
  <c r="T17" i="76" s="1"/>
  <c r="V21" i="80" a="1"/>
  <c r="V21" i="80" s="1"/>
  <c r="Y22" i="80" a="1"/>
  <c r="Y22" i="80" s="1"/>
  <c r="U22" i="80" a="1"/>
  <c r="U22" i="80" s="1"/>
  <c r="X21" i="80" a="1"/>
  <c r="X21" i="80" s="1"/>
  <c r="W21" i="80" a="1"/>
  <c r="W21" i="80" s="1"/>
  <c r="U25" i="86" a="1"/>
  <c r="U25" i="86" s="1"/>
  <c r="W24" i="86" a="1"/>
  <c r="W24" i="86" s="1"/>
  <c r="Y25" i="86" a="1"/>
  <c r="Y25" i="86" s="1"/>
  <c r="X24" i="86" a="1"/>
  <c r="X24" i="86" s="1"/>
  <c r="V24" i="86" a="1"/>
  <c r="V24" i="86" s="1"/>
  <c r="U18" i="86" a="1"/>
  <c r="U18" i="86" s="1"/>
  <c r="X17" i="86" a="1"/>
  <c r="X17" i="86" s="1"/>
  <c r="V17" i="86" a="1"/>
  <c r="V17" i="86" s="1"/>
  <c r="X26" i="86" a="1"/>
  <c r="X26" i="86" s="1"/>
  <c r="U33" i="80" a="1"/>
  <c r="U33" i="80" s="1"/>
  <c r="X32" i="80" a="1"/>
  <c r="X32" i="80" s="1"/>
  <c r="Y33" i="80" a="1"/>
  <c r="Y33" i="80" s="1"/>
  <c r="V32" i="80" a="1"/>
  <c r="V32" i="80" s="1"/>
  <c r="W32" i="80" a="1"/>
  <c r="W32" i="80" s="1"/>
  <c r="U41" i="80" a="1"/>
  <c r="U41" i="80" s="1"/>
  <c r="W40" i="80" a="1"/>
  <c r="W40" i="80" s="1"/>
  <c r="X40" i="80" a="1"/>
  <c r="X40" i="80" s="1"/>
  <c r="Y41" i="80" a="1"/>
  <c r="Y41" i="80" s="1"/>
  <c r="V40" i="80" a="1"/>
  <c r="V40" i="80" s="1"/>
  <c r="V30" i="80" a="1"/>
  <c r="V30" i="80" s="1"/>
  <c r="X30" i="80" a="1"/>
  <c r="X30" i="80" s="1"/>
  <c r="W30" i="80" a="1"/>
  <c r="W30" i="80" s="1"/>
  <c r="Y31" i="80" a="1"/>
  <c r="Y31" i="80" s="1"/>
  <c r="U31" i="80" a="1"/>
  <c r="U31" i="80" s="1"/>
  <c r="V37" i="80" a="1"/>
  <c r="V37" i="80" s="1"/>
  <c r="U38" i="80" a="1"/>
  <c r="U38" i="80" s="1"/>
  <c r="W37" i="80" a="1"/>
  <c r="W37" i="80" s="1"/>
  <c r="Y38" i="80" a="1"/>
  <c r="Y38" i="80" s="1"/>
  <c r="X37" i="80" a="1"/>
  <c r="X37" i="80" s="1"/>
  <c r="W19" i="80" a="1"/>
  <c r="W19" i="80" s="1"/>
  <c r="U20" i="80" a="1"/>
  <c r="U20" i="80" s="1"/>
  <c r="Y20" i="80" a="1"/>
  <c r="Y20" i="80" s="1"/>
  <c r="X19" i="80" a="1"/>
  <c r="X19" i="80" s="1"/>
  <c r="V19" i="80" a="1"/>
  <c r="V19" i="80" s="1"/>
  <c r="X37" i="87" a="1"/>
  <c r="X37" i="87" s="1"/>
  <c r="Y38" i="87" a="1"/>
  <c r="Y38" i="87" s="1"/>
  <c r="W37" i="87" a="1"/>
  <c r="W37" i="87" s="1"/>
  <c r="U38" i="87" a="1"/>
  <c r="U38" i="87" s="1"/>
  <c r="V37" i="87" a="1"/>
  <c r="V37" i="87" s="1"/>
  <c r="X35" i="87" a="1"/>
  <c r="X35" i="87" s="1"/>
  <c r="W35" i="87" a="1"/>
  <c r="W35" i="87" s="1"/>
  <c r="U36" i="87" a="1"/>
  <c r="U36" i="87" s="1"/>
  <c r="Y36" i="87" a="1"/>
  <c r="Y36" i="87" s="1"/>
  <c r="V35" i="87" a="1"/>
  <c r="V35" i="87" s="1"/>
  <c r="Y39" i="87" a="1"/>
  <c r="Y39" i="87" s="1"/>
  <c r="U39" i="87" a="1"/>
  <c r="U39" i="87" s="1"/>
  <c r="V38" i="87" a="1"/>
  <c r="V38" i="87" s="1"/>
  <c r="W38" i="87" a="1"/>
  <c r="W38" i="87" s="1"/>
  <c r="X38" i="87" a="1"/>
  <c r="X38" i="87" s="1"/>
  <c r="U33" i="87" a="1"/>
  <c r="U33" i="87" s="1"/>
  <c r="V32" i="87" a="1"/>
  <c r="V32" i="87" s="1"/>
  <c r="W32" i="87" a="1"/>
  <c r="W32" i="87" s="1"/>
  <c r="X32" i="87" a="1"/>
  <c r="X32" i="87" s="1"/>
  <c r="Y33" i="87" a="1"/>
  <c r="Y33" i="87" s="1"/>
  <c r="U42" i="75" a="1"/>
  <c r="U42" i="75" s="1"/>
  <c r="V41" i="75" a="1"/>
  <c r="V41" i="75" s="1"/>
  <c r="W41" i="75" a="1"/>
  <c r="W41" i="75" s="1"/>
  <c r="Y42" i="75" a="1"/>
  <c r="Y42" i="75" s="1"/>
  <c r="X41" i="75" a="1"/>
  <c r="X41" i="75" s="1"/>
  <c r="V32" i="75" a="1"/>
  <c r="V32" i="75" s="1"/>
  <c r="U33" i="75" a="1"/>
  <c r="U33" i="75" s="1"/>
  <c r="W32" i="75" a="1"/>
  <c r="W32" i="75" s="1"/>
  <c r="Y33" i="75" a="1"/>
  <c r="Y33" i="75" s="1"/>
  <c r="X32" i="75" a="1"/>
  <c r="X32" i="75" s="1"/>
  <c r="U28" i="75" a="1"/>
  <c r="U28" i="75" s="1"/>
  <c r="W27" i="75" a="1"/>
  <c r="W27" i="75" s="1"/>
  <c r="V27" i="75" a="1"/>
  <c r="V27" i="75" s="1"/>
  <c r="Y28" i="75" a="1"/>
  <c r="Y28" i="75" s="1"/>
  <c r="X27" i="75" a="1"/>
  <c r="X27" i="75" s="1"/>
  <c r="U35" i="73" a="1"/>
  <c r="U35" i="73" s="1"/>
  <c r="V34" i="73" a="1"/>
  <c r="V34" i="73" s="1"/>
  <c r="Y35" i="73" a="1"/>
  <c r="Y35" i="73" s="1"/>
  <c r="W34" i="73" a="1"/>
  <c r="W34" i="73" s="1"/>
  <c r="X34" i="73" a="1"/>
  <c r="X34" i="73" s="1"/>
  <c r="U32" i="73" a="1"/>
  <c r="U32" i="73" s="1"/>
  <c r="Y32" i="73" a="1"/>
  <c r="Y32" i="73" s="1"/>
  <c r="X31" i="73" a="1"/>
  <c r="X31" i="73" s="1"/>
  <c r="V31" i="73" a="1"/>
  <c r="V31" i="73" s="1"/>
  <c r="W31" i="73" a="1"/>
  <c r="W31" i="73" s="1"/>
  <c r="V29" i="86" a="1"/>
  <c r="V29" i="86" s="1"/>
  <c r="X26" i="84" a="1"/>
  <c r="X26" i="84" s="1"/>
  <c r="Y27" i="84" a="1"/>
  <c r="Y27" i="84" s="1"/>
  <c r="W26" i="84" a="1"/>
  <c r="W26" i="84" s="1"/>
  <c r="U27" i="84" a="1"/>
  <c r="U27" i="84" s="1"/>
  <c r="V26" i="84" a="1"/>
  <c r="V26" i="84" s="1"/>
  <c r="W20" i="83" a="1"/>
  <c r="W20" i="83" s="1"/>
  <c r="W17" i="83" a="1"/>
  <c r="W17" i="83" s="1"/>
  <c r="U18" i="83" a="1"/>
  <c r="U18" i="83" s="1"/>
  <c r="W36" i="83" a="1"/>
  <c r="W36" i="83" s="1"/>
  <c r="X36" i="83" a="1"/>
  <c r="X36" i="83" s="1"/>
  <c r="U37" i="83" a="1"/>
  <c r="U37" i="83" s="1"/>
  <c r="V36" i="83" a="1"/>
  <c r="V36" i="83" s="1"/>
  <c r="Y37" i="83" a="1"/>
  <c r="Y37" i="83" s="1"/>
  <c r="X38" i="92" a="1"/>
  <c r="X38" i="92" s="1"/>
  <c r="X42" i="80" a="1"/>
  <c r="X42" i="80" s="1"/>
  <c r="Y43" i="80" a="1"/>
  <c r="Y43" i="80" s="1"/>
  <c r="U43" i="80" a="1"/>
  <c r="U43" i="80" s="1"/>
  <c r="V42" i="80" a="1"/>
  <c r="V42" i="80" s="1"/>
  <c r="W42" i="80" a="1"/>
  <c r="W42" i="80" s="1"/>
  <c r="U41" i="75" a="1"/>
  <c r="U41" i="75" s="1"/>
  <c r="W21" i="86" a="1"/>
  <c r="W21" i="86" s="1"/>
  <c r="T15" i="73"/>
  <c r="X30" i="73" a="1"/>
  <c r="X30" i="73" s="1"/>
  <c r="Y31" i="73" a="1"/>
  <c r="Y31" i="73" s="1"/>
  <c r="V30" i="73" a="1"/>
  <c r="V30" i="73" s="1"/>
  <c r="W30" i="73" a="1"/>
  <c r="W30" i="73" s="1"/>
  <c r="U31" i="73" a="1"/>
  <c r="U31" i="73" s="1"/>
  <c r="W18" i="86" a="1"/>
  <c r="W18" i="86" s="1"/>
  <c r="V18" i="86" a="1"/>
  <c r="V18" i="86" s="1"/>
  <c r="Y19" i="86" a="1"/>
  <c r="Y19" i="86" s="1"/>
  <c r="Y42" i="80" a="1"/>
  <c r="Y42" i="80" s="1"/>
  <c r="W41" i="80" a="1"/>
  <c r="W41" i="80" s="1"/>
  <c r="X41" i="80" a="1"/>
  <c r="X41" i="80" s="1"/>
  <c r="U42" i="80" a="1"/>
  <c r="U42" i="80" s="1"/>
  <c r="V41" i="80" a="1"/>
  <c r="V41" i="80" s="1"/>
  <c r="V22" i="80" a="1"/>
  <c r="V22" i="80" s="1"/>
  <c r="U23" i="80" a="1"/>
  <c r="U23" i="80" s="1"/>
  <c r="Y23" i="80" a="1"/>
  <c r="Y23" i="80" s="1"/>
  <c r="X22" i="80" a="1"/>
  <c r="X22" i="80" s="1"/>
  <c r="W22" i="80" a="1"/>
  <c r="W22" i="80" s="1"/>
  <c r="U34" i="80" a="1"/>
  <c r="U34" i="80" s="1"/>
  <c r="X33" i="80" a="1"/>
  <c r="X33" i="80" s="1"/>
  <c r="Y34" i="80" a="1"/>
  <c r="Y34" i="80" s="1"/>
  <c r="V33" i="80" a="1"/>
  <c r="V33" i="80" s="1"/>
  <c r="W33" i="80" a="1"/>
  <c r="W33" i="80" s="1"/>
  <c r="Y23" i="87" a="1"/>
  <c r="Y23" i="87" s="1"/>
  <c r="W22" i="87" a="1"/>
  <c r="W22" i="87" s="1"/>
  <c r="V33" i="87" a="1"/>
  <c r="V33" i="87" s="1"/>
  <c r="U28" i="87" a="1"/>
  <c r="U28" i="87" s="1"/>
  <c r="V27" i="87" a="1"/>
  <c r="V27" i="87" s="1"/>
  <c r="Y28" i="87" a="1"/>
  <c r="Y28" i="87" s="1"/>
  <c r="W27" i="87" a="1"/>
  <c r="W27" i="87" s="1"/>
  <c r="X27" i="87" a="1"/>
  <c r="X27" i="87" s="1"/>
  <c r="V24" i="75" a="1"/>
  <c r="V24" i="75" s="1"/>
  <c r="V35" i="75" a="1"/>
  <c r="V35" i="75" s="1"/>
  <c r="U36" i="75" a="1"/>
  <c r="U36" i="75" s="1"/>
  <c r="W35" i="75" a="1"/>
  <c r="W35" i="75" s="1"/>
  <c r="X35" i="75" a="1"/>
  <c r="X35" i="75" s="1"/>
  <c r="Y36" i="75" a="1"/>
  <c r="Y36" i="75" s="1"/>
  <c r="V19" i="73" a="1"/>
  <c r="V19" i="73" s="1"/>
  <c r="Y20" i="73" a="1"/>
  <c r="Y20" i="73" s="1"/>
  <c r="U20" i="73" a="1"/>
  <c r="U20" i="73" s="1"/>
  <c r="W19" i="73" a="1"/>
  <c r="W19" i="73" s="1"/>
  <c r="X19" i="73" a="1"/>
  <c r="X19" i="73" s="1"/>
  <c r="Y37" i="73" a="1"/>
  <c r="Y37" i="73" s="1"/>
  <c r="W36" i="73" a="1"/>
  <c r="W36" i="73" s="1"/>
  <c r="X36" i="73" a="1"/>
  <c r="X36" i="73" s="1"/>
  <c r="V36" i="73" a="1"/>
  <c r="V36" i="73" s="1"/>
  <c r="U37" i="73" a="1"/>
  <c r="U37" i="73" s="1"/>
  <c r="X23" i="83" a="1"/>
  <c r="X23" i="83" s="1"/>
  <c r="W23" i="83" a="1"/>
  <c r="W23" i="83" s="1"/>
  <c r="U24" i="83" a="1"/>
  <c r="U24" i="83" s="1"/>
  <c r="Y24" i="83" a="1"/>
  <c r="Y24" i="83" s="1"/>
  <c r="V23" i="83" a="1"/>
  <c r="V23" i="83" s="1"/>
  <c r="U39" i="83" a="1"/>
  <c r="U39" i="83" s="1"/>
  <c r="X38" i="83" a="1"/>
  <c r="X38" i="83" s="1"/>
  <c r="U28" i="83" a="1"/>
  <c r="U28" i="83" s="1"/>
  <c r="V27" i="83" a="1"/>
  <c r="V27" i="83" s="1"/>
  <c r="X27" i="83" a="1"/>
  <c r="X27" i="83" s="1"/>
  <c r="Y28" i="83" a="1"/>
  <c r="Y28" i="83" s="1"/>
  <c r="W27" i="83" a="1"/>
  <c r="W27" i="83" s="1"/>
  <c r="X20" i="92" a="1"/>
  <c r="X20" i="92" s="1"/>
  <c r="Y21" i="92" a="1"/>
  <c r="Y21" i="92" s="1"/>
  <c r="U21" i="92" a="1"/>
  <c r="U21" i="92" s="1"/>
  <c r="W20" i="92" a="1"/>
  <c r="W20" i="92" s="1"/>
  <c r="V20" i="92" a="1"/>
  <c r="V20" i="92" s="1"/>
  <c r="D27" i="89"/>
  <c r="V31" i="80" a="1"/>
  <c r="V31" i="80" s="1"/>
  <c r="Y32" i="80" a="1"/>
  <c r="Y32" i="80" s="1"/>
  <c r="U32" i="80" a="1"/>
  <c r="U32" i="80" s="1"/>
  <c r="W31" i="80" a="1"/>
  <c r="W31" i="80" s="1"/>
  <c r="X31" i="80" a="1"/>
  <c r="X31" i="80" s="1"/>
  <c r="W20" i="87" a="1"/>
  <c r="W20" i="87" s="1"/>
  <c r="X20" i="87" a="1"/>
  <c r="X20" i="87" s="1"/>
  <c r="Y21" i="87" a="1"/>
  <c r="Y21" i="87" s="1"/>
  <c r="U21" i="87" a="1"/>
  <c r="U21" i="87" s="1"/>
  <c r="V20" i="87" a="1"/>
  <c r="V20" i="87" s="1"/>
  <c r="W26" i="75" a="1"/>
  <c r="W26" i="75" s="1"/>
  <c r="V26" i="75" a="1"/>
  <c r="V26" i="75" s="1"/>
  <c r="U27" i="75" a="1"/>
  <c r="U27" i="75" s="1"/>
  <c r="Y27" i="75" a="1"/>
  <c r="Y27" i="75" s="1"/>
  <c r="X26" i="75" a="1"/>
  <c r="X26" i="75" s="1"/>
  <c r="Y22" i="73" a="1"/>
  <c r="Y22" i="73" s="1"/>
  <c r="U22" i="73" a="1"/>
  <c r="U22" i="73" s="1"/>
  <c r="W21" i="73" a="1"/>
  <c r="W21" i="73" s="1"/>
  <c r="X21" i="73" a="1"/>
  <c r="X21" i="73" s="1"/>
  <c r="V21" i="73" a="1"/>
  <c r="V21" i="73" s="1"/>
  <c r="W35" i="80" a="1"/>
  <c r="W35" i="80" s="1"/>
  <c r="U36" i="80" a="1"/>
  <c r="U36" i="80" s="1"/>
  <c r="X35" i="80" a="1"/>
  <c r="X35" i="80" s="1"/>
  <c r="Y36" i="80" a="1"/>
  <c r="Y36" i="80" s="1"/>
  <c r="V35" i="80" a="1"/>
  <c r="V35" i="80" s="1"/>
  <c r="W38" i="75" a="1"/>
  <c r="W38" i="75" s="1"/>
  <c r="V38" i="75" a="1"/>
  <c r="V38" i="75" s="1"/>
  <c r="Y39" i="75" a="1"/>
  <c r="Y39" i="75" s="1"/>
  <c r="U39" i="75" a="1"/>
  <c r="U39" i="75" s="1"/>
  <c r="X38" i="75" a="1"/>
  <c r="X38" i="75" s="1"/>
  <c r="X34" i="82" a="1"/>
  <c r="X34" i="82" s="1"/>
  <c r="W42" i="86" a="1"/>
  <c r="W42" i="86" s="1"/>
  <c r="Y43" i="86" a="1"/>
  <c r="Y43" i="86" s="1"/>
  <c r="U43" i="86" a="1"/>
  <c r="U43" i="86" s="1"/>
  <c r="X42" i="86" a="1"/>
  <c r="X42" i="86" s="1"/>
  <c r="V42" i="86" a="1"/>
  <c r="V42" i="86" s="1"/>
  <c r="X35" i="86" a="1"/>
  <c r="X35" i="86" s="1"/>
  <c r="U36" i="86" a="1"/>
  <c r="U36" i="86" s="1"/>
  <c r="Y36" i="86" a="1"/>
  <c r="Y36" i="86" s="1"/>
  <c r="V35" i="86" a="1"/>
  <c r="V35" i="86" s="1"/>
  <c r="W35" i="86" a="1"/>
  <c r="W35" i="86" s="1"/>
  <c r="V35" i="73" a="1"/>
  <c r="V35" i="73" s="1"/>
  <c r="W35" i="73" a="1"/>
  <c r="W35" i="73" s="1"/>
  <c r="Y36" i="73" a="1"/>
  <c r="Y36" i="73" s="1"/>
  <c r="U36" i="73" a="1"/>
  <c r="U36" i="73" s="1"/>
  <c r="X35" i="73" a="1"/>
  <c r="X35" i="73" s="1"/>
  <c r="U27" i="80" a="1"/>
  <c r="U27" i="80" s="1"/>
  <c r="X26" i="80" a="1"/>
  <c r="X26" i="80" s="1"/>
  <c r="Y27" i="80" a="1"/>
  <c r="Y27" i="80" s="1"/>
  <c r="V26" i="80" a="1"/>
  <c r="V26" i="80" s="1"/>
  <c r="W26" i="80" a="1"/>
  <c r="W26" i="80" s="1"/>
  <c r="V15" i="80" a="1"/>
  <c r="V15" i="80" s="1"/>
  <c r="Y16" i="80" a="1"/>
  <c r="Y16" i="80" s="1"/>
  <c r="X15" i="80" a="1"/>
  <c r="X15" i="80" s="1"/>
  <c r="U16" i="80" a="1"/>
  <c r="U16" i="80" s="1"/>
  <c r="W15" i="80" a="1"/>
  <c r="W15" i="80" s="1"/>
  <c r="V29" i="80" a="1"/>
  <c r="V29" i="80" s="1"/>
  <c r="X29" i="80" a="1"/>
  <c r="X29" i="80" s="1"/>
  <c r="U30" i="80" a="1"/>
  <c r="U30" i="80" s="1"/>
  <c r="W29" i="80" a="1"/>
  <c r="W29" i="80" s="1"/>
  <c r="Y30" i="80" a="1"/>
  <c r="Y30" i="80" s="1"/>
  <c r="U19" i="80" a="1"/>
  <c r="U19" i="80" s="1"/>
  <c r="X18" i="80" a="1"/>
  <c r="X18" i="80" s="1"/>
  <c r="Y19" i="80" a="1"/>
  <c r="Y19" i="80" s="1"/>
  <c r="W18" i="80" a="1"/>
  <c r="W18" i="80" s="1"/>
  <c r="V18" i="80" a="1"/>
  <c r="V18" i="80" s="1"/>
  <c r="W19" i="86" a="1"/>
  <c r="W19" i="86" s="1"/>
  <c r="W18" i="87" a="1"/>
  <c r="W18" i="87" s="1"/>
  <c r="T14" i="87"/>
  <c r="V28" i="87" a="1"/>
  <c r="V28" i="87" s="1"/>
  <c r="W23" i="87" a="1"/>
  <c r="W23" i="87" s="1"/>
  <c r="X23" i="87" a="1"/>
  <c r="X23" i="87" s="1"/>
  <c r="Y24" i="87" a="1"/>
  <c r="Y24" i="87" s="1"/>
  <c r="V23" i="87" a="1"/>
  <c r="V23" i="87" s="1"/>
  <c r="U24" i="87" a="1"/>
  <c r="U24" i="87" s="1"/>
  <c r="U40" i="75" a="1"/>
  <c r="U40" i="75" s="1"/>
  <c r="X39" i="75" a="1"/>
  <c r="X39" i="75" s="1"/>
  <c r="V33" i="75" a="1"/>
  <c r="V33" i="75" s="1"/>
  <c r="U34" i="75" a="1"/>
  <c r="U34" i="75" s="1"/>
  <c r="Y34" i="75" a="1"/>
  <c r="Y34" i="75" s="1"/>
  <c r="W33" i="75" a="1"/>
  <c r="W33" i="75" s="1"/>
  <c r="X33" i="75" a="1"/>
  <c r="X33" i="75" s="1"/>
  <c r="Y31" i="75" a="1"/>
  <c r="Y31" i="75" s="1"/>
  <c r="X30" i="75" a="1"/>
  <c r="X30" i="75" s="1"/>
  <c r="W30" i="75" a="1"/>
  <c r="W30" i="75" s="1"/>
  <c r="U31" i="75" a="1"/>
  <c r="U31" i="75" s="1"/>
  <c r="V30" i="75" a="1"/>
  <c r="V30" i="75" s="1"/>
  <c r="W43" i="75" a="1"/>
  <c r="W43" i="75" s="1"/>
  <c r="V43" i="75" a="1"/>
  <c r="V43" i="75" s="1"/>
  <c r="X43" i="75" a="1"/>
  <c r="X43" i="75" s="1"/>
  <c r="U34" i="73" a="1"/>
  <c r="U34" i="73" s="1"/>
  <c r="Y34" i="73" a="1"/>
  <c r="Y34" i="73" s="1"/>
  <c r="W33" i="73" a="1"/>
  <c r="W33" i="73" s="1"/>
  <c r="V33" i="73" a="1"/>
  <c r="V33" i="73" s="1"/>
  <c r="X33" i="73" a="1"/>
  <c r="X33" i="73" s="1"/>
  <c r="V27" i="73" a="1"/>
  <c r="V27" i="73" s="1"/>
  <c r="W27" i="73" a="1"/>
  <c r="W27" i="73" s="1"/>
  <c r="X27" i="73" a="1"/>
  <c r="X27" i="73" s="1"/>
  <c r="Y28" i="73" a="1"/>
  <c r="Y28" i="73" s="1"/>
  <c r="U28" i="73" a="1"/>
  <c r="U28" i="73" s="1"/>
  <c r="V28" i="86" a="1"/>
  <c r="V28" i="86" s="1"/>
  <c r="W28" i="86" a="1"/>
  <c r="W28" i="86" s="1"/>
  <c r="X28" i="86" a="1"/>
  <c r="X28" i="86" s="1"/>
  <c r="U29" i="86" a="1"/>
  <c r="U29" i="86" s="1"/>
  <c r="Y29" i="86" a="1"/>
  <c r="Y29" i="86" s="1"/>
  <c r="Y31" i="83" a="1"/>
  <c r="Y31" i="83" s="1"/>
  <c r="W30" i="83" a="1"/>
  <c r="W30" i="83" s="1"/>
  <c r="V30" i="83" a="1"/>
  <c r="V30" i="83" s="1"/>
  <c r="U31" i="83" a="1"/>
  <c r="U31" i="83" s="1"/>
  <c r="Y29" i="83" a="1"/>
  <c r="Y29" i="83" s="1"/>
  <c r="W28" i="83" a="1"/>
  <c r="W28" i="83" s="1"/>
  <c r="V28" i="83" a="1"/>
  <c r="V28" i="83" s="1"/>
  <c r="U29" i="83" a="1"/>
  <c r="U29" i="83" s="1"/>
  <c r="X28" i="83" a="1"/>
  <c r="X28" i="83" s="1"/>
  <c r="U22" i="83" a="1"/>
  <c r="U22" i="83" s="1"/>
  <c r="X21" i="83" a="1"/>
  <c r="X21" i="83" s="1"/>
  <c r="W21" i="83" a="1"/>
  <c r="W21" i="83" s="1"/>
  <c r="Y22" i="83" a="1"/>
  <c r="Y22" i="83" s="1"/>
  <c r="V21" i="83" a="1"/>
  <c r="V21" i="83" s="1"/>
  <c r="X16" i="92" a="1"/>
  <c r="X16" i="92" s="1"/>
  <c r="W16" i="92" a="1"/>
  <c r="W16" i="92" s="1"/>
  <c r="U30" i="87" a="1"/>
  <c r="U30" i="87" s="1"/>
  <c r="V29" i="87" a="1"/>
  <c r="V29" i="87" s="1"/>
  <c r="U26" i="75" a="1"/>
  <c r="U26" i="75" s="1"/>
  <c r="V25" i="75" a="1"/>
  <c r="V25" i="75" s="1"/>
  <c r="X25" i="75" a="1"/>
  <c r="X25" i="75" s="1"/>
  <c r="W25" i="75" a="1"/>
  <c r="W25" i="75" s="1"/>
  <c r="Y26" i="75" a="1"/>
  <c r="Y26" i="75" s="1"/>
  <c r="X35" i="83" a="1"/>
  <c r="X35" i="83" s="1"/>
  <c r="X36" i="86" a="1"/>
  <c r="X36" i="86" s="1"/>
  <c r="K37" i="81"/>
  <c r="T37" i="81" s="1"/>
  <c r="K17" i="81"/>
  <c r="T17" i="81" s="1"/>
  <c r="K21" i="81"/>
  <c r="T21" i="81" s="1"/>
  <c r="K25" i="81"/>
  <c r="T25" i="81" s="1"/>
  <c r="K29" i="81"/>
  <c r="T29" i="81" s="1"/>
  <c r="K34" i="81"/>
  <c r="T34" i="81" s="1"/>
  <c r="K40" i="81"/>
  <c r="T40" i="81" s="1"/>
  <c r="K44" i="81"/>
  <c r="T44" i="81" s="1"/>
  <c r="K39" i="81"/>
  <c r="T39" i="81" s="1"/>
  <c r="K18" i="81"/>
  <c r="T18" i="81" s="1"/>
  <c r="K22" i="81"/>
  <c r="T22" i="81" s="1"/>
  <c r="K26" i="81"/>
  <c r="T26" i="81" s="1"/>
  <c r="K30" i="81"/>
  <c r="T30" i="81" s="1"/>
  <c r="K35" i="81"/>
  <c r="T35" i="81" s="1"/>
  <c r="K41" i="81"/>
  <c r="T41" i="81" s="1"/>
  <c r="K20" i="81"/>
  <c r="T20" i="81" s="1"/>
  <c r="K27" i="81"/>
  <c r="T27" i="81" s="1"/>
  <c r="K15" i="81"/>
  <c r="T15" i="81" s="1"/>
  <c r="K43" i="81"/>
  <c r="T43" i="81" s="1"/>
  <c r="K31" i="81"/>
  <c r="T31" i="81" s="1"/>
  <c r="K28" i="81"/>
  <c r="T28" i="81" s="1"/>
  <c r="K36" i="81"/>
  <c r="T36" i="81" s="1"/>
  <c r="K16" i="81"/>
  <c r="T16" i="81" s="1"/>
  <c r="K23" i="81"/>
  <c r="T23" i="81" s="1"/>
  <c r="K32" i="81"/>
  <c r="T32" i="81" s="1"/>
  <c r="K19" i="81"/>
  <c r="T19" i="81" s="1"/>
  <c r="K33" i="81"/>
  <c r="T33" i="81" s="1"/>
  <c r="K38" i="81"/>
  <c r="T38" i="81" s="1"/>
  <c r="K14" i="81"/>
  <c r="K42" i="81"/>
  <c r="T42" i="81" s="1"/>
  <c r="K24" i="81"/>
  <c r="T24" i="81" s="1"/>
  <c r="U34" i="86" a="1"/>
  <c r="U34" i="86" s="1"/>
  <c r="W33" i="86" a="1"/>
  <c r="W33" i="86" s="1"/>
  <c r="Y34" i="86" a="1"/>
  <c r="Y34" i="86" s="1"/>
  <c r="V33" i="86" a="1"/>
  <c r="V33" i="86" s="1"/>
  <c r="X33" i="86" a="1"/>
  <c r="X33" i="86" s="1"/>
  <c r="Y25" i="82" a="1"/>
  <c r="Y25" i="82" s="1"/>
  <c r="X24" i="82" a="1"/>
  <c r="X24" i="82" s="1"/>
  <c r="U25" i="82" a="1"/>
  <c r="U25" i="82" s="1"/>
  <c r="V24" i="82" a="1"/>
  <c r="V24" i="82" s="1"/>
  <c r="W24" i="82" a="1"/>
  <c r="W24" i="82" s="1"/>
  <c r="Y24" i="86" a="1"/>
  <c r="Y24" i="86" s="1"/>
  <c r="U24" i="86" a="1"/>
  <c r="U24" i="86" s="1"/>
  <c r="W23" i="86" a="1"/>
  <c r="W23" i="86" s="1"/>
  <c r="X23" i="86" a="1"/>
  <c r="X23" i="86" s="1"/>
  <c r="V23" i="86" a="1"/>
  <c r="V23" i="86" s="1"/>
  <c r="W31" i="86" a="1"/>
  <c r="W31" i="86" s="1"/>
  <c r="V39" i="80" a="1"/>
  <c r="V39" i="80" s="1"/>
  <c r="W39" i="80" a="1"/>
  <c r="W39" i="80" s="1"/>
  <c r="X39" i="80" a="1"/>
  <c r="X39" i="80" s="1"/>
  <c r="U40" i="80" a="1"/>
  <c r="U40" i="80" s="1"/>
  <c r="Y40" i="80" a="1"/>
  <c r="Y40" i="80" s="1"/>
  <c r="Y24" i="80" a="1"/>
  <c r="Y24" i="80" s="1"/>
  <c r="X23" i="80" a="1"/>
  <c r="X23" i="80" s="1"/>
  <c r="V23" i="80" a="1"/>
  <c r="V23" i="80" s="1"/>
  <c r="U24" i="80" a="1"/>
  <c r="U24" i="80" s="1"/>
  <c r="W23" i="80" a="1"/>
  <c r="W23" i="80" s="1"/>
  <c r="U26" i="80" a="1"/>
  <c r="U26" i="80" s="1"/>
  <c r="X25" i="80" a="1"/>
  <c r="X25" i="80" s="1"/>
  <c r="Y26" i="80" a="1"/>
  <c r="Y26" i="80" s="1"/>
  <c r="V25" i="80" a="1"/>
  <c r="V25" i="80" s="1"/>
  <c r="W25" i="80" a="1"/>
  <c r="W25" i="80" s="1"/>
  <c r="X32" i="73" a="1"/>
  <c r="X32" i="73" s="1"/>
  <c r="V32" i="73" a="1"/>
  <c r="V32" i="73" s="1"/>
  <c r="Y33" i="73" a="1"/>
  <c r="Y33" i="73" s="1"/>
  <c r="U33" i="73" a="1"/>
  <c r="U33" i="73" s="1"/>
  <c r="W32" i="73" a="1"/>
  <c r="W32" i="73" s="1"/>
  <c r="T18" i="82"/>
  <c r="U35" i="87" a="1"/>
  <c r="U35" i="87" s="1"/>
  <c r="V34" i="87" a="1"/>
  <c r="V34" i="87" s="1"/>
  <c r="W34" i="87" a="1"/>
  <c r="W34" i="87" s="1"/>
  <c r="X34" i="87" a="1"/>
  <c r="X34" i="87" s="1"/>
  <c r="Y35" i="87" a="1"/>
  <c r="Y35" i="87" s="1"/>
  <c r="U25" i="87" a="1"/>
  <c r="U25" i="87" s="1"/>
  <c r="V24" i="87" a="1"/>
  <c r="V24" i="87" s="1"/>
  <c r="W24" i="87" a="1"/>
  <c r="W24" i="87" s="1"/>
  <c r="Y25" i="87" a="1"/>
  <c r="Y25" i="87" s="1"/>
  <c r="X24" i="87" a="1"/>
  <c r="X24" i="87" s="1"/>
  <c r="X19" i="87" a="1"/>
  <c r="X19" i="87" s="1"/>
  <c r="V19" i="87" a="1"/>
  <c r="V19" i="87" s="1"/>
  <c r="W30" i="82" a="1"/>
  <c r="W30" i="82" s="1"/>
  <c r="U31" i="82" a="1"/>
  <c r="U31" i="82" s="1"/>
  <c r="V30" i="82" a="1"/>
  <c r="V30" i="82" s="1"/>
  <c r="Y31" i="82" a="1"/>
  <c r="Y31" i="82" s="1"/>
  <c r="X30" i="82" a="1"/>
  <c r="X30" i="82" s="1"/>
  <c r="V31" i="75" a="1"/>
  <c r="V31" i="75" s="1"/>
  <c r="Y32" i="75" a="1"/>
  <c r="Y32" i="75" s="1"/>
  <c r="V23" i="75" a="1"/>
  <c r="V23" i="75" s="1"/>
  <c r="U24" i="75" a="1"/>
  <c r="U24" i="75" s="1"/>
  <c r="X23" i="75" a="1"/>
  <c r="X23" i="75" s="1"/>
  <c r="W23" i="75" a="1"/>
  <c r="W23" i="75" s="1"/>
  <c r="Y24" i="75" a="1"/>
  <c r="Y24" i="75" s="1"/>
  <c r="X37" i="73" a="1"/>
  <c r="X37" i="73" s="1"/>
  <c r="U38" i="73" a="1"/>
  <c r="U38" i="73" s="1"/>
  <c r="Y38" i="73" a="1"/>
  <c r="Y38" i="73" s="1"/>
  <c r="W37" i="73" a="1"/>
  <c r="W37" i="73" s="1"/>
  <c r="V37" i="73" a="1"/>
  <c r="V37" i="73" s="1"/>
  <c r="U25" i="73" a="1"/>
  <c r="U25" i="73" s="1"/>
  <c r="Y25" i="73" a="1"/>
  <c r="Y25" i="73" s="1"/>
  <c r="X24" i="73" a="1"/>
  <c r="X24" i="73" s="1"/>
  <c r="W24" i="73" a="1"/>
  <c r="W24" i="73" s="1"/>
  <c r="V24" i="73" a="1"/>
  <c r="V24" i="73" s="1"/>
  <c r="X34" i="86" a="1"/>
  <c r="X34" i="86" s="1"/>
  <c r="X39" i="83" a="1"/>
  <c r="X39" i="83" s="1"/>
  <c r="W19" i="83" a="1"/>
  <c r="W19" i="83" s="1"/>
  <c r="X19" i="83" a="1"/>
  <c r="X19" i="83" s="1"/>
  <c r="U19" i="83" a="1"/>
  <c r="U19" i="83" s="1"/>
  <c r="Y19" i="83" a="1"/>
  <c r="Y19" i="83" s="1"/>
  <c r="V18" i="83" a="1"/>
  <c r="V18" i="83" s="1"/>
  <c r="W18" i="83" a="1"/>
  <c r="W18" i="83" s="1"/>
  <c r="X18" i="83" a="1"/>
  <c r="X18" i="83" s="1"/>
  <c r="X28" i="92" a="1"/>
  <c r="X28" i="92" s="1"/>
  <c r="Y29" i="92" a="1"/>
  <c r="Y29" i="92" s="1"/>
  <c r="U29" i="92" a="1"/>
  <c r="U29" i="92" s="1"/>
  <c r="W28" i="92" a="1"/>
  <c r="W28" i="92" s="1"/>
  <c r="V28" i="92" a="1"/>
  <c r="V28" i="92" s="1"/>
  <c r="K23" i="77"/>
  <c r="T23" i="77" s="1"/>
  <c r="K31" i="77"/>
  <c r="T31" i="77" s="1"/>
  <c r="K39" i="77"/>
  <c r="T39" i="77" s="1"/>
  <c r="K14" i="77"/>
  <c r="K20" i="77"/>
  <c r="T20" i="77" s="1"/>
  <c r="K28" i="77"/>
  <c r="T28" i="77" s="1"/>
  <c r="K36" i="77"/>
  <c r="T36" i="77" s="1"/>
  <c r="K17" i="77"/>
  <c r="T17" i="77" s="1"/>
  <c r="K25" i="77"/>
  <c r="T25" i="77" s="1"/>
  <c r="K33" i="77"/>
  <c r="T33" i="77" s="1"/>
  <c r="K41" i="77"/>
  <c r="T41" i="77" s="1"/>
  <c r="K16" i="77"/>
  <c r="T16" i="77" s="1"/>
  <c r="K22" i="77"/>
  <c r="T22" i="77" s="1"/>
  <c r="K26" i="77"/>
  <c r="T26" i="77" s="1"/>
  <c r="K18" i="77"/>
  <c r="T18" i="77" s="1"/>
  <c r="K43" i="77"/>
  <c r="T43" i="77" s="1"/>
  <c r="K44" i="77"/>
  <c r="T44" i="77" s="1"/>
  <c r="K35" i="77"/>
  <c r="T35" i="77" s="1"/>
  <c r="K37" i="77"/>
  <c r="T37" i="77" s="1"/>
  <c r="K27" i="77"/>
  <c r="T27" i="77" s="1"/>
  <c r="K29" i="77"/>
  <c r="T29" i="77" s="1"/>
  <c r="K15" i="77"/>
  <c r="T15" i="77" s="1"/>
  <c r="K34" i="77"/>
  <c r="T34" i="77" s="1"/>
  <c r="K42" i="77"/>
  <c r="T42" i="77" s="1"/>
  <c r="K32" i="77"/>
  <c r="T32" i="77" s="1"/>
  <c r="K40" i="77"/>
  <c r="T40" i="77" s="1"/>
  <c r="K21" i="77"/>
  <c r="T21" i="77" s="1"/>
  <c r="K24" i="77"/>
  <c r="T24" i="77" s="1"/>
  <c r="K38" i="77"/>
  <c r="T38" i="77" s="1"/>
  <c r="K19" i="77"/>
  <c r="T19" i="77" s="1"/>
  <c r="K30" i="77"/>
  <c r="T30" i="77" s="1"/>
  <c r="C65" i="16"/>
  <c r="B65" i="16"/>
  <c r="D65" i="16"/>
  <c r="B58" i="16"/>
  <c r="C58" i="16"/>
  <c r="D58" i="16"/>
  <c r="E19" i="16"/>
  <c r="B19" i="16" a="1"/>
  <c r="B19" i="16" s="1"/>
  <c r="C19" i="16"/>
  <c r="D19" i="16"/>
  <c r="B51" i="16"/>
  <c r="D51" i="16"/>
  <c r="C51" i="16"/>
  <c r="C28" i="16"/>
  <c r="B28" i="16" a="1"/>
  <c r="B28" i="16" s="1"/>
  <c r="D28" i="16"/>
  <c r="E28" i="16"/>
  <c r="B34" i="16" a="1"/>
  <c r="B34" i="16" s="1"/>
  <c r="E34" i="16"/>
  <c r="D34" i="16"/>
  <c r="C34" i="16"/>
  <c r="C61" i="16"/>
  <c r="B61" i="16"/>
  <c r="D61" i="16"/>
  <c r="B18" i="16" a="1"/>
  <c r="B18" i="16" s="1"/>
  <c r="D18" i="16"/>
  <c r="E18" i="16"/>
  <c r="C18" i="16"/>
  <c r="C64" i="16"/>
  <c r="D64" i="16"/>
  <c r="B64" i="16"/>
  <c r="D21" i="16"/>
  <c r="B21" i="16" a="1"/>
  <c r="B21" i="16" s="1"/>
  <c r="C21" i="16"/>
  <c r="E21" i="16"/>
  <c r="D52" i="16"/>
  <c r="C52" i="16"/>
  <c r="B52" i="16"/>
  <c r="B49" i="16"/>
  <c r="C49" i="16"/>
  <c r="D49" i="16"/>
  <c r="C60" i="16"/>
  <c r="D60" i="16"/>
  <c r="B60" i="16"/>
  <c r="C54" i="16"/>
  <c r="D54" i="16"/>
  <c r="B54" i="16"/>
  <c r="E22" i="16"/>
  <c r="D22" i="16"/>
  <c r="B22" i="16" a="1"/>
  <c r="B22" i="16" s="1"/>
  <c r="C22" i="16"/>
  <c r="C47" i="16"/>
  <c r="D47" i="16"/>
  <c r="B47" i="16"/>
  <c r="B24" i="16" a="1"/>
  <c r="B24" i="16" s="1"/>
  <c r="D24" i="16"/>
  <c r="E24" i="16"/>
  <c r="C24" i="16"/>
  <c r="B53" i="16"/>
  <c r="C53" i="16"/>
  <c r="D53" i="16"/>
  <c r="E29" i="16"/>
  <c r="D29" i="16"/>
  <c r="B29" i="16" a="1"/>
  <c r="B29" i="16" s="1"/>
  <c r="C29" i="16"/>
  <c r="B57" i="16"/>
  <c r="C57" i="16"/>
  <c r="D57" i="16"/>
  <c r="C50" i="16"/>
  <c r="D50" i="16"/>
  <c r="B50" i="16"/>
  <c r="C25" i="16"/>
  <c r="E25" i="16"/>
  <c r="D25" i="16"/>
  <c r="B25" i="16" a="1"/>
  <c r="B25" i="16" s="1"/>
  <c r="C23" i="16"/>
  <c r="E23" i="16"/>
  <c r="B23" i="16" a="1"/>
  <c r="B23" i="16" s="1"/>
  <c r="D23" i="16"/>
  <c r="C63" i="16"/>
  <c r="D63" i="16"/>
  <c r="B63" i="16"/>
  <c r="C17" i="16"/>
  <c r="D17" i="16"/>
  <c r="B17" i="16" a="1"/>
  <c r="B17" i="16" s="1"/>
  <c r="E17" i="16"/>
  <c r="B46" i="16"/>
  <c r="D46" i="16"/>
  <c r="C46" i="16"/>
  <c r="E30" i="16"/>
  <c r="D30" i="16"/>
  <c r="C30" i="16"/>
  <c r="B30" i="16" a="1"/>
  <c r="B30" i="16" s="1"/>
  <c r="C15" i="16"/>
  <c r="B15" i="16" a="1"/>
  <c r="B15" i="16" s="1"/>
  <c r="E15" i="16"/>
  <c r="D15" i="16"/>
  <c r="C56" i="16"/>
  <c r="B56" i="16"/>
  <c r="D56" i="16"/>
  <c r="D59" i="16"/>
  <c r="C59" i="16"/>
  <c r="B59" i="16"/>
  <c r="C20" i="16"/>
  <c r="E20" i="16"/>
  <c r="D20" i="16"/>
  <c r="B20" i="16" a="1"/>
  <c r="B20" i="16" s="1"/>
  <c r="B27" i="16" a="1"/>
  <c r="B27" i="16" s="1"/>
  <c r="E27" i="16"/>
  <c r="D27" i="16"/>
  <c r="C27" i="16"/>
  <c r="C44" i="16"/>
  <c r="D44" i="16"/>
  <c r="B44" i="16"/>
  <c r="B14" i="16" a="1"/>
  <c r="B14" i="16" s="1"/>
  <c r="D14" i="16"/>
  <c r="E14" i="16"/>
  <c r="C14" i="16"/>
  <c r="B33" i="16" a="1"/>
  <c r="B33" i="16" s="1"/>
  <c r="D33" i="16"/>
  <c r="E33" i="16"/>
  <c r="C33" i="16"/>
  <c r="C45" i="16"/>
  <c r="B45" i="16"/>
  <c r="D45" i="16"/>
  <c r="B48" i="16"/>
  <c r="D48" i="16"/>
  <c r="C48" i="16"/>
  <c r="B55" i="16"/>
  <c r="D55" i="16"/>
  <c r="C55" i="16"/>
  <c r="B32" i="16" a="1"/>
  <c r="B32" i="16" s="1"/>
  <c r="E32" i="16"/>
  <c r="D32" i="16"/>
  <c r="C32" i="16"/>
  <c r="D43" i="16"/>
  <c r="B43" i="16"/>
  <c r="C43" i="16"/>
  <c r="C31" i="16"/>
  <c r="E31" i="16"/>
  <c r="B31" i="16" a="1"/>
  <c r="B31" i="16" s="1"/>
  <c r="D31" i="16"/>
  <c r="B16" i="16" a="1"/>
  <c r="B16" i="16" s="1"/>
  <c r="D16" i="16"/>
  <c r="E16" i="16"/>
  <c r="C16" i="16"/>
  <c r="B62" i="16"/>
  <c r="D62" i="16"/>
  <c r="C62" i="16"/>
  <c r="L56" i="86"/>
  <c r="P63" i="86"/>
  <c r="C26" i="16"/>
  <c r="B26" i="16" a="1"/>
  <c r="B26" i="16" s="1"/>
  <c r="D26" i="16"/>
  <c r="E26" i="16"/>
  <c r="C23" i="89"/>
  <c r="C27" i="89"/>
  <c r="C20" i="89"/>
  <c r="C25" i="89"/>
  <c r="C16" i="89"/>
  <c r="C21" i="89"/>
  <c r="C29" i="89"/>
  <c r="C26" i="89"/>
  <c r="W27" i="84" l="1" a="1"/>
  <c r="W27" i="84" s="1"/>
  <c r="V27" i="84" a="1"/>
  <c r="V27" i="84" s="1"/>
  <c r="V19" i="83" a="1"/>
  <c r="V19" i="83" s="1"/>
  <c r="U20" i="87" a="1"/>
  <c r="U20" i="87" s="1"/>
  <c r="U17" i="92" a="1"/>
  <c r="U17" i="92" s="1"/>
  <c r="V39" i="75" a="1"/>
  <c r="V39" i="75" s="1"/>
  <c r="W28" i="87" a="1"/>
  <c r="W28" i="87" s="1"/>
  <c r="U20" i="86" a="1"/>
  <c r="U20" i="86" s="1"/>
  <c r="Y35" i="82" a="1"/>
  <c r="Y35" i="82" s="1"/>
  <c r="Y25" i="75" a="1"/>
  <c r="Y25" i="75" s="1"/>
  <c r="U34" i="87" a="1"/>
  <c r="U34" i="87" s="1"/>
  <c r="U22" i="86" a="1"/>
  <c r="U22" i="86" s="1"/>
  <c r="X15" i="87" a="1"/>
  <c r="X15" i="87" s="1"/>
  <c r="K37" i="79"/>
  <c r="T37" i="79" s="1"/>
  <c r="K31" i="79"/>
  <c r="T31" i="79" s="1"/>
  <c r="W31" i="79" s="1" a="1"/>
  <c r="W31" i="79" s="1"/>
  <c r="K20" i="79"/>
  <c r="T20" i="79" s="1"/>
  <c r="U21" i="79" s="1" a="1"/>
  <c r="U21" i="79" s="1"/>
  <c r="K23" i="79"/>
  <c r="T23" i="79" s="1"/>
  <c r="K45" i="80"/>
  <c r="W41" i="83" a="1"/>
  <c r="W41" i="83" s="1"/>
  <c r="V41" i="84" a="1"/>
  <c r="V41" i="84" s="1"/>
  <c r="U31" i="84" a="1"/>
  <c r="U31" i="84" s="1"/>
  <c r="V30" i="84" a="1"/>
  <c r="V30" i="84" s="1"/>
  <c r="X30" i="84" a="1"/>
  <c r="X30" i="84" s="1"/>
  <c r="U17" i="84" a="1"/>
  <c r="U17" i="84" s="1"/>
  <c r="U53" i="84" s="1"/>
  <c r="V16" i="84" a="1"/>
  <c r="V16" i="84" s="1"/>
  <c r="Y17" i="84" a="1"/>
  <c r="Y17" i="84" s="1"/>
  <c r="V40" i="84" a="1"/>
  <c r="V40" i="84" s="1"/>
  <c r="Y41" i="84" a="1"/>
  <c r="Y41" i="84" s="1"/>
  <c r="W40" i="84" a="1"/>
  <c r="W40" i="84" s="1"/>
  <c r="X40" i="84" a="1"/>
  <c r="X40" i="84" s="1"/>
  <c r="U41" i="84" a="1"/>
  <c r="U41" i="84" s="1"/>
  <c r="X40" i="83" a="1"/>
  <c r="X40" i="83" s="1"/>
  <c r="Y20" i="83" a="1"/>
  <c r="Y20" i="83" s="1"/>
  <c r="Y20" i="87" a="1"/>
  <c r="Y20" i="87" s="1"/>
  <c r="V16" i="92" a="1"/>
  <c r="V16" i="92" s="1"/>
  <c r="W39" i="75" a="1"/>
  <c r="W39" i="75" s="1"/>
  <c r="Y29" i="87" a="1"/>
  <c r="Y29" i="87" s="1"/>
  <c r="U25" i="75" a="1"/>
  <c r="U25" i="75" s="1"/>
  <c r="X33" i="87" a="1"/>
  <c r="X33" i="87" s="1"/>
  <c r="X21" i="86" a="1"/>
  <c r="X21" i="86" s="1"/>
  <c r="V38" i="92" a="1"/>
  <c r="V38" i="92" s="1"/>
  <c r="W29" i="86" a="1"/>
  <c r="W29" i="86" s="1"/>
  <c r="Y16" i="87" a="1"/>
  <c r="Y16" i="87" s="1"/>
  <c r="K44" i="79"/>
  <c r="T44" i="79" s="1"/>
  <c r="K22" i="79"/>
  <c r="T22" i="79" s="1"/>
  <c r="K35" i="79"/>
  <c r="T35" i="79" s="1"/>
  <c r="K19" i="79"/>
  <c r="T19" i="79" s="1"/>
  <c r="U20" i="79" s="1" a="1"/>
  <c r="U20" i="79" s="1"/>
  <c r="V41" i="87" a="1"/>
  <c r="V41" i="87" s="1"/>
  <c r="Y42" i="83" a="1"/>
  <c r="Y42" i="83" s="1"/>
  <c r="X44" i="80" a="1"/>
  <c r="X44" i="80" s="1"/>
  <c r="W23" i="84" a="1"/>
  <c r="W23" i="84" s="1"/>
  <c r="Y37" i="82" a="1"/>
  <c r="Y37" i="82" s="1"/>
  <c r="L65" i="82"/>
  <c r="X41" i="84" a="1"/>
  <c r="X41" i="84" s="1"/>
  <c r="Y22" i="84" a="1"/>
  <c r="Y22" i="84" s="1"/>
  <c r="Y53" i="84" s="1"/>
  <c r="V21" i="84" a="1"/>
  <c r="V21" i="84" s="1"/>
  <c r="V51" i="84" s="1"/>
  <c r="V52" i="84" s="1"/>
  <c r="W21" i="84" a="1"/>
  <c r="W21" i="84" s="1"/>
  <c r="U21" i="84" a="1"/>
  <c r="U21" i="84" s="1"/>
  <c r="V20" i="84" a="1"/>
  <c r="V20" i="84" s="1"/>
  <c r="Y32" i="86" a="1"/>
  <c r="Y32" i="86" s="1"/>
  <c r="U37" i="86" a="1"/>
  <c r="U37" i="86" s="1"/>
  <c r="U29" i="87" a="1"/>
  <c r="U29" i="87" s="1"/>
  <c r="Y34" i="87" a="1"/>
  <c r="Y34" i="87" s="1"/>
  <c r="Y39" i="92" a="1"/>
  <c r="Y39" i="92" s="1"/>
  <c r="X29" i="86" a="1"/>
  <c r="X29" i="86" s="1"/>
  <c r="W26" i="86" a="1"/>
  <c r="W26" i="86" s="1"/>
  <c r="Y35" i="75" a="1"/>
  <c r="Y35" i="75" s="1"/>
  <c r="K39" i="79"/>
  <c r="T39" i="79" s="1"/>
  <c r="K36" i="79"/>
  <c r="T36" i="79" s="1"/>
  <c r="K33" i="79"/>
  <c r="T33" i="79" s="1"/>
  <c r="K29" i="79"/>
  <c r="T29" i="79" s="1"/>
  <c r="U30" i="79" s="1" a="1"/>
  <c r="U30" i="79" s="1"/>
  <c r="W41" i="87" a="1"/>
  <c r="W41" i="87" s="1"/>
  <c r="V41" i="83" a="1"/>
  <c r="V41" i="83" s="1"/>
  <c r="V23" i="84" a="1"/>
  <c r="V23" i="84" s="1"/>
  <c r="V29" i="73" a="1"/>
  <c r="V29" i="73" s="1"/>
  <c r="W20" i="84" a="1"/>
  <c r="W20" i="84" s="1"/>
  <c r="W51" i="84" s="1"/>
  <c r="U37" i="82" a="1"/>
  <c r="U37" i="82" s="1"/>
  <c r="V42" i="84" a="1"/>
  <c r="V42" i="84" s="1"/>
  <c r="X42" i="84" a="1"/>
  <c r="X42" i="84" s="1"/>
  <c r="U43" i="84" a="1"/>
  <c r="U43" i="84" s="1"/>
  <c r="Y43" i="84" a="1"/>
  <c r="Y43" i="84" s="1"/>
  <c r="W42" i="84" a="1"/>
  <c r="W42" i="84" s="1"/>
  <c r="X24" i="84" a="1"/>
  <c r="X24" i="84" s="1"/>
  <c r="W24" i="84" a="1"/>
  <c r="W24" i="84" s="1"/>
  <c r="U25" i="84" a="1"/>
  <c r="U25" i="84" s="1"/>
  <c r="Y25" i="84" a="1"/>
  <c r="Y25" i="84" s="1"/>
  <c r="V24" i="84" a="1"/>
  <c r="V24" i="84" s="1"/>
  <c r="Y39" i="84" a="1"/>
  <c r="Y39" i="84" s="1"/>
  <c r="W38" i="84" a="1"/>
  <c r="W38" i="84" s="1"/>
  <c r="U39" i="84" a="1"/>
  <c r="U39" i="84" s="1"/>
  <c r="X38" i="84" a="1"/>
  <c r="X38" i="84" s="1"/>
  <c r="Y37" i="86" a="1"/>
  <c r="Y37" i="86" s="1"/>
  <c r="W34" i="82" a="1"/>
  <c r="W34" i="82" s="1"/>
  <c r="K43" i="79"/>
  <c r="T43" i="79" s="1"/>
  <c r="K25" i="79"/>
  <c r="T25" i="79" s="1"/>
  <c r="X25" i="79" s="1" a="1"/>
  <c r="X25" i="79" s="1"/>
  <c r="K42" i="79"/>
  <c r="T42" i="79" s="1"/>
  <c r="Y43" i="79" s="1" a="1"/>
  <c r="Y43" i="79" s="1"/>
  <c r="Y42" i="87" a="1"/>
  <c r="Y42" i="87" s="1"/>
  <c r="X23" i="84" a="1"/>
  <c r="X23" i="84" s="1"/>
  <c r="K44" i="84"/>
  <c r="W25" i="87" a="1"/>
  <c r="W25" i="87" s="1"/>
  <c r="U34" i="84" a="1"/>
  <c r="U34" i="84" s="1"/>
  <c r="W36" i="82" a="1"/>
  <c r="W36" i="82" s="1"/>
  <c r="Y28" i="84" a="1"/>
  <c r="Y28" i="84" s="1"/>
  <c r="Y35" i="84" a="1"/>
  <c r="Y35" i="84" s="1"/>
  <c r="V36" i="82" a="1"/>
  <c r="V36" i="82" s="1"/>
  <c r="W29" i="75" a="1"/>
  <c r="W29" i="75" s="1"/>
  <c r="W36" i="86" a="1"/>
  <c r="W36" i="86" s="1"/>
  <c r="V34" i="82" a="1"/>
  <c r="V34" i="82" s="1"/>
  <c r="Y41" i="86" a="1"/>
  <c r="Y41" i="86" s="1"/>
  <c r="K21" i="79"/>
  <c r="T21" i="79" s="1"/>
  <c r="K34" i="79"/>
  <c r="T34" i="79" s="1"/>
  <c r="U35" i="79" s="1" a="1"/>
  <c r="U35" i="79" s="1"/>
  <c r="K16" i="79"/>
  <c r="T16" i="79" s="1"/>
  <c r="X16" i="79" s="1" a="1"/>
  <c r="X16" i="79" s="1"/>
  <c r="K38" i="79"/>
  <c r="T38" i="79" s="1"/>
  <c r="Y21" i="84" a="1"/>
  <c r="Y21" i="84" s="1"/>
  <c r="W16" i="73" a="1"/>
  <c r="W16" i="73" s="1"/>
  <c r="X27" i="84" a="1"/>
  <c r="X27" i="84" s="1"/>
  <c r="W34" i="84" a="1"/>
  <c r="W34" i="84" s="1"/>
  <c r="V35" i="84" a="1"/>
  <c r="V35" i="84" s="1"/>
  <c r="U35" i="75" a="1"/>
  <c r="U35" i="75" s="1"/>
  <c r="X33" i="84" a="1"/>
  <c r="X33" i="84" s="1"/>
  <c r="Y34" i="84" a="1"/>
  <c r="Y34" i="84" s="1"/>
  <c r="V29" i="75" a="1"/>
  <c r="V29" i="75" s="1"/>
  <c r="K42" i="73"/>
  <c r="K18" i="79"/>
  <c r="T18" i="79" s="1"/>
  <c r="K17" i="79"/>
  <c r="T17" i="79" s="1"/>
  <c r="K41" i="79"/>
  <c r="T41" i="79" s="1"/>
  <c r="X16" i="84" a="1"/>
  <c r="X16" i="84" s="1"/>
  <c r="X53" i="84" s="1"/>
  <c r="U28" i="84" a="1"/>
  <c r="U28" i="84" s="1"/>
  <c r="V34" i="84" a="1"/>
  <c r="V34" i="84" s="1"/>
  <c r="U15" i="84" a="1"/>
  <c r="U15" i="84" s="1"/>
  <c r="Y15" i="84" a="1"/>
  <c r="Y15" i="84" s="1"/>
  <c r="L72" i="83"/>
  <c r="L73" i="75"/>
  <c r="L72" i="87"/>
  <c r="W42" i="75" a="1"/>
  <c r="W42" i="75" s="1"/>
  <c r="K45" i="87"/>
  <c r="X42" i="75" a="1"/>
  <c r="X42" i="75" s="1"/>
  <c r="Y43" i="75" a="1"/>
  <c r="Y43" i="75" s="1"/>
  <c r="L73" i="86"/>
  <c r="L65" i="77"/>
  <c r="L72" i="75"/>
  <c r="L65" i="73"/>
  <c r="L73" i="73"/>
  <c r="L72" i="73"/>
  <c r="L64" i="73"/>
  <c r="V40" i="83" a="1"/>
  <c r="V40" i="83" s="1"/>
  <c r="V26" i="83" a="1"/>
  <c r="V26" i="83" s="1"/>
  <c r="W29" i="87" a="1"/>
  <c r="W29" i="87" s="1"/>
  <c r="X22" i="87" a="1"/>
  <c r="X22" i="87" s="1"/>
  <c r="X39" i="86" a="1"/>
  <c r="X39" i="86" s="1"/>
  <c r="U27" i="83" a="1"/>
  <c r="U27" i="83" s="1"/>
  <c r="V18" i="87" a="1"/>
  <c r="V18" i="87" s="1"/>
  <c r="U38" i="83" a="1"/>
  <c r="U38" i="83" s="1"/>
  <c r="W39" i="86" a="1"/>
  <c r="W39" i="86" s="1"/>
  <c r="Y18" i="83" a="1"/>
  <c r="Y18" i="83" s="1"/>
  <c r="V26" i="86" a="1"/>
  <c r="V26" i="86" s="1"/>
  <c r="V25" i="86" a="1"/>
  <c r="V25" i="86" s="1"/>
  <c r="U40" i="83" a="1"/>
  <c r="U40" i="83" s="1"/>
  <c r="Y35" i="86" a="1"/>
  <c r="Y35" i="86" s="1"/>
  <c r="X31" i="75" a="1"/>
  <c r="X31" i="75" s="1"/>
  <c r="W17" i="87" a="1"/>
  <c r="W17" i="87" s="1"/>
  <c r="V29" i="83" a="1"/>
  <c r="V29" i="83" s="1"/>
  <c r="U19" i="87" a="1"/>
  <c r="U19" i="87" s="1"/>
  <c r="X37" i="83" a="1"/>
  <c r="X37" i="83" s="1"/>
  <c r="V38" i="83" a="1"/>
  <c r="V38" i="83" s="1"/>
  <c r="U39" i="86" a="1"/>
  <c r="U39" i="86" s="1"/>
  <c r="X37" i="75" a="1"/>
  <c r="X37" i="75" s="1"/>
  <c r="V21" i="87" a="1"/>
  <c r="V21" i="87" s="1"/>
  <c r="V39" i="86" a="1"/>
  <c r="V39" i="86" s="1"/>
  <c r="Y41" i="87" a="1"/>
  <c r="Y41" i="87" s="1"/>
  <c r="Y41" i="75" a="1"/>
  <c r="Y41" i="75" s="1"/>
  <c r="X17" i="83" a="1"/>
  <c r="X17" i="83" s="1"/>
  <c r="Y27" i="86" a="1"/>
  <c r="Y27" i="86" s="1"/>
  <c r="V34" i="92" a="1"/>
  <c r="V34" i="92" s="1"/>
  <c r="W40" i="86" a="1"/>
  <c r="W40" i="86" s="1"/>
  <c r="W22" i="86" a="1"/>
  <c r="W22" i="86" s="1"/>
  <c r="W34" i="83" a="1"/>
  <c r="W34" i="83" s="1"/>
  <c r="W29" i="73" a="1"/>
  <c r="W29" i="73" s="1"/>
  <c r="U23" i="73" a="1"/>
  <c r="U23" i="73" s="1"/>
  <c r="U43" i="75" a="1"/>
  <c r="U43" i="75" s="1"/>
  <c r="U33" i="83" a="1"/>
  <c r="U33" i="83" s="1"/>
  <c r="X25" i="86" a="1"/>
  <c r="X25" i="86" s="1"/>
  <c r="Y26" i="86" a="1"/>
  <c r="Y26" i="86" s="1"/>
  <c r="Y39" i="86" a="1"/>
  <c r="Y39" i="86" s="1"/>
  <c r="X26" i="87" a="1"/>
  <c r="X26" i="87" s="1"/>
  <c r="W25" i="86" a="1"/>
  <c r="W25" i="86" s="1"/>
  <c r="X17" i="87" a="1"/>
  <c r="X17" i="87" s="1"/>
  <c r="U30" i="83" a="1"/>
  <c r="U30" i="83" s="1"/>
  <c r="Y38" i="75" a="1"/>
  <c r="Y38" i="75" s="1"/>
  <c r="Y22" i="87" a="1"/>
  <c r="Y22" i="87" s="1"/>
  <c r="W40" i="87" a="1"/>
  <c r="W40" i="87" s="1"/>
  <c r="Y33" i="83" a="1"/>
  <c r="Y33" i="83" s="1"/>
  <c r="W26" i="87" a="1"/>
  <c r="W26" i="87" s="1"/>
  <c r="W40" i="83" a="1"/>
  <c r="W40" i="83" s="1"/>
  <c r="W39" i="83" a="1"/>
  <c r="W39" i="83" s="1"/>
  <c r="U35" i="86" a="1"/>
  <c r="U35" i="86" s="1"/>
  <c r="U30" i="75" a="1"/>
  <c r="U30" i="75" s="1"/>
  <c r="W31" i="75" a="1"/>
  <c r="W31" i="75" s="1"/>
  <c r="V17" i="87" a="1"/>
  <c r="V17" i="87" s="1"/>
  <c r="U32" i="86" a="1"/>
  <c r="U32" i="86" s="1"/>
  <c r="Y36" i="83" a="1"/>
  <c r="Y36" i="83" s="1"/>
  <c r="W29" i="83" a="1"/>
  <c r="W29" i="83" s="1"/>
  <c r="V19" i="86" a="1"/>
  <c r="V19" i="86" s="1"/>
  <c r="W37" i="83" a="1"/>
  <c r="W37" i="83" s="1"/>
  <c r="X38" i="86" a="1"/>
  <c r="X38" i="86" s="1"/>
  <c r="W37" i="75" a="1"/>
  <c r="W37" i="75" s="1"/>
  <c r="X21" i="87" a="1"/>
  <c r="X21" i="87" s="1"/>
  <c r="X53" i="87" s="1"/>
  <c r="U40" i="86" a="1"/>
  <c r="U40" i="86" s="1"/>
  <c r="X40" i="87" a="1"/>
  <c r="X40" i="87" s="1"/>
  <c r="V40" i="75" a="1"/>
  <c r="V40" i="75" s="1"/>
  <c r="U21" i="83" a="1"/>
  <c r="U21" i="83" s="1"/>
  <c r="W34" i="92" a="1"/>
  <c r="W34" i="92" s="1"/>
  <c r="V34" i="75" a="1"/>
  <c r="V34" i="75" s="1"/>
  <c r="V40" i="86" a="1"/>
  <c r="V40" i="86" s="1"/>
  <c r="X34" i="83" a="1"/>
  <c r="X34" i="83" s="1"/>
  <c r="Y26" i="83" a="1"/>
  <c r="Y26" i="83" s="1"/>
  <c r="Y30" i="73" a="1"/>
  <c r="Y30" i="73" s="1"/>
  <c r="V43" i="83" a="1"/>
  <c r="V43" i="83" s="1"/>
  <c r="X33" i="83" a="1"/>
  <c r="X33" i="83" s="1"/>
  <c r="V34" i="86" a="1"/>
  <c r="V34" i="86" s="1"/>
  <c r="X29" i="83" a="1"/>
  <c r="X29" i="83" s="1"/>
  <c r="Y19" i="87" a="1"/>
  <c r="Y19" i="87" s="1"/>
  <c r="Y39" i="83" a="1"/>
  <c r="Y39" i="83" s="1"/>
  <c r="W38" i="86" a="1"/>
  <c r="W38" i="86" s="1"/>
  <c r="U19" i="86" a="1"/>
  <c r="U19" i="86" s="1"/>
  <c r="V34" i="83" a="1"/>
  <c r="V34" i="83" s="1"/>
  <c r="U41" i="83" a="1"/>
  <c r="U41" i="83" s="1"/>
  <c r="V39" i="83" a="1"/>
  <c r="V39" i="83" s="1"/>
  <c r="Y30" i="75" a="1"/>
  <c r="Y30" i="75" s="1"/>
  <c r="U18" i="87" a="1"/>
  <c r="U18" i="87" s="1"/>
  <c r="V31" i="86" a="1"/>
  <c r="V31" i="86" s="1"/>
  <c r="W35" i="83" a="1"/>
  <c r="W35" i="83" s="1"/>
  <c r="X19" i="86" a="1"/>
  <c r="X19" i="86" s="1"/>
  <c r="Y38" i="83" a="1"/>
  <c r="Y38" i="83" s="1"/>
  <c r="W24" i="75" a="1"/>
  <c r="W24" i="75" s="1"/>
  <c r="V37" i="75" a="1"/>
  <c r="V37" i="75" s="1"/>
  <c r="W21" i="87" a="1"/>
  <c r="W21" i="87" s="1"/>
  <c r="V40" i="87" a="1"/>
  <c r="V40" i="87" s="1"/>
  <c r="X40" i="75" a="1"/>
  <c r="X40" i="75" s="1"/>
  <c r="W38" i="92" a="1"/>
  <c r="W38" i="92" s="1"/>
  <c r="V20" i="83" a="1"/>
  <c r="V20" i="83" s="1"/>
  <c r="U30" i="86" a="1"/>
  <c r="U30" i="86" s="1"/>
  <c r="Y18" i="86" a="1"/>
  <c r="Y18" i="86" s="1"/>
  <c r="U35" i="92" a="1"/>
  <c r="U35" i="92" s="1"/>
  <c r="K44" i="83"/>
  <c r="X34" i="75" a="1"/>
  <c r="X34" i="75" s="1"/>
  <c r="X40" i="86" a="1"/>
  <c r="X40" i="86" s="1"/>
  <c r="Y38" i="86" a="1"/>
  <c r="Y38" i="86" s="1"/>
  <c r="U35" i="83" a="1"/>
  <c r="U35" i="83" s="1"/>
  <c r="V25" i="83" a="1"/>
  <c r="V25" i="83" s="1"/>
  <c r="X29" i="73" a="1"/>
  <c r="X29" i="73" s="1"/>
  <c r="Y21" i="75" a="1"/>
  <c r="Y21" i="75" s="1"/>
  <c r="W43" i="83" a="1"/>
  <c r="W43" i="83" s="1"/>
  <c r="Y34" i="83" a="1"/>
  <c r="Y34" i="83" s="1"/>
  <c r="X18" i="73" a="1"/>
  <c r="X18" i="73" s="1"/>
  <c r="Y19" i="73" a="1"/>
  <c r="Y19" i="73" s="1"/>
  <c r="U19" i="73" a="1"/>
  <c r="U19" i="73" s="1"/>
  <c r="V18" i="73" a="1"/>
  <c r="V18" i="73" s="1"/>
  <c r="W18" i="73" a="1"/>
  <c r="W18" i="73" s="1"/>
  <c r="U36" i="83" a="1"/>
  <c r="U36" i="83" s="1"/>
  <c r="V21" i="86" a="1"/>
  <c r="V21" i="86" s="1"/>
  <c r="K44" i="82"/>
  <c r="Y30" i="87" a="1"/>
  <c r="Y30" i="87" s="1"/>
  <c r="V22" i="87" a="1"/>
  <c r="V22" i="87" s="1"/>
  <c r="Y21" i="83" a="1"/>
  <c r="Y21" i="83" s="1"/>
  <c r="W27" i="86" a="1"/>
  <c r="W27" i="86" s="1"/>
  <c r="K44" i="75"/>
  <c r="K45" i="86"/>
  <c r="U38" i="86" a="1"/>
  <c r="U38" i="86" s="1"/>
  <c r="Y43" i="83" a="1"/>
  <c r="Y43" i="83" s="1"/>
  <c r="V20" i="75" a="1"/>
  <c r="V20" i="75" s="1"/>
  <c r="Y26" i="87" a="1"/>
  <c r="Y26" i="87" s="1"/>
  <c r="Y30" i="92" a="1"/>
  <c r="Y30" i="92" s="1"/>
  <c r="U30" i="92" a="1"/>
  <c r="U30" i="92" s="1"/>
  <c r="W29" i="92" a="1"/>
  <c r="W29" i="92" s="1"/>
  <c r="V29" i="92" a="1"/>
  <c r="V29" i="92" s="1"/>
  <c r="X29" i="92" a="1"/>
  <c r="X29" i="92" s="1"/>
  <c r="W42" i="92" a="1"/>
  <c r="W42" i="92" s="1"/>
  <c r="X42" i="92" a="1"/>
  <c r="X42" i="92" s="1"/>
  <c r="V42" i="92" a="1"/>
  <c r="V42" i="92" s="1"/>
  <c r="U43" i="92" a="1"/>
  <c r="U43" i="92" s="1"/>
  <c r="Y43" i="92" a="1"/>
  <c r="Y43" i="92" s="1"/>
  <c r="Y38" i="92" a="1"/>
  <c r="Y38" i="92" s="1"/>
  <c r="V37" i="92" a="1"/>
  <c r="V37" i="92" s="1"/>
  <c r="U38" i="92" a="1"/>
  <c r="U38" i="92" s="1"/>
  <c r="W37" i="92" a="1"/>
  <c r="W37" i="92" s="1"/>
  <c r="X37" i="92" a="1"/>
  <c r="X37" i="92" s="1"/>
  <c r="V32" i="92" a="1"/>
  <c r="V32" i="92" s="1"/>
  <c r="U33" i="92" a="1"/>
  <c r="U33" i="92" s="1"/>
  <c r="X32" i="92" a="1"/>
  <c r="X32" i="92" s="1"/>
  <c r="W32" i="92" a="1"/>
  <c r="W32" i="92" s="1"/>
  <c r="Y33" i="92" a="1"/>
  <c r="Y33" i="92" s="1"/>
  <c r="V37" i="82" a="1"/>
  <c r="V37" i="82" s="1"/>
  <c r="X37" i="82" a="1"/>
  <c r="X37" i="82" s="1"/>
  <c r="U38" i="82" a="1"/>
  <c r="U38" i="82" s="1"/>
  <c r="Y38" i="82" a="1"/>
  <c r="Y38" i="82" s="1"/>
  <c r="W37" i="82" a="1"/>
  <c r="W37" i="82" s="1"/>
  <c r="X23" i="82" a="1"/>
  <c r="X23" i="82" s="1"/>
  <c r="U24" i="82" a="1"/>
  <c r="U24" i="82" s="1"/>
  <c r="W23" i="82" a="1"/>
  <c r="W23" i="82" s="1"/>
  <c r="Y24" i="82" a="1"/>
  <c r="Y24" i="82" s="1"/>
  <c r="V23" i="82" a="1"/>
  <c r="V23" i="82" s="1"/>
  <c r="U40" i="82" a="1"/>
  <c r="U40" i="82" s="1"/>
  <c r="Y40" i="82" a="1"/>
  <c r="Y40" i="82" s="1"/>
  <c r="W39" i="82" a="1"/>
  <c r="W39" i="82" s="1"/>
  <c r="X39" i="82" a="1"/>
  <c r="X39" i="82" s="1"/>
  <c r="V39" i="82" a="1"/>
  <c r="V39" i="82" s="1"/>
  <c r="T14" i="92"/>
  <c r="K45" i="92"/>
  <c r="X35" i="92" a="1"/>
  <c r="X35" i="92" s="1"/>
  <c r="V35" i="92" a="1"/>
  <c r="V35" i="92" s="1"/>
  <c r="W35" i="92" a="1"/>
  <c r="W35" i="92" s="1"/>
  <c r="U36" i="92" a="1"/>
  <c r="U36" i="92" s="1"/>
  <c r="Y36" i="92" a="1"/>
  <c r="Y36" i="92" s="1"/>
  <c r="Y18" i="92" a="1"/>
  <c r="Y18" i="92" s="1"/>
  <c r="U18" i="92" a="1"/>
  <c r="U18" i="92" s="1"/>
  <c r="W17" i="92" a="1"/>
  <c r="W17" i="92" s="1"/>
  <c r="X17" i="92" a="1"/>
  <c r="X17" i="92" s="1"/>
  <c r="V17" i="92" a="1"/>
  <c r="V17" i="92" s="1"/>
  <c r="W21" i="92" a="1"/>
  <c r="W21" i="92" s="1"/>
  <c r="Y22" i="92" a="1"/>
  <c r="Y22" i="92" s="1"/>
  <c r="X21" i="92" a="1"/>
  <c r="X21" i="92" s="1"/>
  <c r="U22" i="92" a="1"/>
  <c r="U22" i="92" s="1"/>
  <c r="V21" i="92" a="1"/>
  <c r="V21" i="92" s="1"/>
  <c r="X16" i="75" a="1"/>
  <c r="X16" i="75" s="1"/>
  <c r="V16" i="75" a="1"/>
  <c r="V16" i="75" s="1"/>
  <c r="U17" i="75" a="1"/>
  <c r="U17" i="75" s="1"/>
  <c r="Y17" i="75" a="1"/>
  <c r="Y17" i="75" s="1"/>
  <c r="W16" i="75" a="1"/>
  <c r="W16" i="75" s="1"/>
  <c r="V26" i="82" a="1"/>
  <c r="V26" i="82" s="1"/>
  <c r="W26" i="82" a="1"/>
  <c r="W26" i="82" s="1"/>
  <c r="Y27" i="82" a="1"/>
  <c r="Y27" i="82" s="1"/>
  <c r="X26" i="82" a="1"/>
  <c r="X26" i="82" s="1"/>
  <c r="U27" i="82" a="1"/>
  <c r="U27" i="82" s="1"/>
  <c r="Y16" i="82" a="1"/>
  <c r="Y16" i="82" s="1"/>
  <c r="W15" i="82" a="1"/>
  <c r="W15" i="82" s="1"/>
  <c r="U16" i="82" a="1"/>
  <c r="U16" i="82" s="1"/>
  <c r="V15" i="82" a="1"/>
  <c r="V15" i="82" s="1"/>
  <c r="X15" i="82" a="1"/>
  <c r="X15" i="82" s="1"/>
  <c r="V33" i="82" a="1"/>
  <c r="V33" i="82" s="1"/>
  <c r="Y34" i="82" a="1"/>
  <c r="Y34" i="82" s="1"/>
  <c r="W33" i="82" a="1"/>
  <c r="W33" i="82" s="1"/>
  <c r="U34" i="82" a="1"/>
  <c r="U34" i="82" s="1"/>
  <c r="X33" i="82" a="1"/>
  <c r="X33" i="82" s="1"/>
  <c r="W24" i="83" a="1"/>
  <c r="W24" i="83" s="1"/>
  <c r="W26" i="83" a="1"/>
  <c r="W26" i="83" s="1"/>
  <c r="U26" i="83" a="1"/>
  <c r="U26" i="83" s="1"/>
  <c r="U43" i="83" a="1"/>
  <c r="U43" i="83" s="1"/>
  <c r="X32" i="83" a="1"/>
  <c r="X32" i="83" s="1"/>
  <c r="X25" i="87" a="1"/>
  <c r="X25" i="87" s="1"/>
  <c r="U34" i="83" a="1"/>
  <c r="U34" i="83" s="1"/>
  <c r="V26" i="87" a="1"/>
  <c r="V26" i="87" s="1"/>
  <c r="V44" i="92" a="1"/>
  <c r="V44" i="92" s="1"/>
  <c r="X44" i="92" a="1"/>
  <c r="X44" i="92" s="1"/>
  <c r="W44" i="92" a="1"/>
  <c r="W44" i="92" s="1"/>
  <c r="U20" i="92" a="1"/>
  <c r="U20" i="92" s="1"/>
  <c r="V19" i="92" a="1"/>
  <c r="V19" i="92" s="1"/>
  <c r="X19" i="92" a="1"/>
  <c r="X19" i="92" s="1"/>
  <c r="W19" i="92" a="1"/>
  <c r="W19" i="92" s="1"/>
  <c r="Y20" i="92" a="1"/>
  <c r="Y20" i="92" s="1"/>
  <c r="Y28" i="92" a="1"/>
  <c r="Y28" i="92" s="1"/>
  <c r="W27" i="92" a="1"/>
  <c r="W27" i="92" s="1"/>
  <c r="V27" i="92" a="1"/>
  <c r="V27" i="92" s="1"/>
  <c r="X27" i="92" a="1"/>
  <c r="X27" i="92" s="1"/>
  <c r="U28" i="92" a="1"/>
  <c r="U28" i="92" s="1"/>
  <c r="V15" i="75" a="1"/>
  <c r="V15" i="75" s="1"/>
  <c r="X15" i="75" a="1"/>
  <c r="X15" i="75" s="1"/>
  <c r="W15" i="75" a="1"/>
  <c r="W15" i="75" s="1"/>
  <c r="Y16" i="75" a="1"/>
  <c r="Y16" i="75" s="1"/>
  <c r="U16" i="75" a="1"/>
  <c r="U16" i="75" s="1"/>
  <c r="Y21" i="82" a="1"/>
  <c r="Y21" i="82" s="1"/>
  <c r="V20" i="82" a="1"/>
  <c r="V20" i="82" s="1"/>
  <c r="U21" i="82" a="1"/>
  <c r="U21" i="82" s="1"/>
  <c r="W20" i="82" a="1"/>
  <c r="W20" i="82" s="1"/>
  <c r="X20" i="82" a="1"/>
  <c r="X20" i="82" s="1"/>
  <c r="U26" i="82" a="1"/>
  <c r="U26" i="82" s="1"/>
  <c r="V25" i="82" a="1"/>
  <c r="V25" i="82" s="1"/>
  <c r="Y26" i="82" a="1"/>
  <c r="Y26" i="82" s="1"/>
  <c r="W25" i="82" a="1"/>
  <c r="W25" i="82" s="1"/>
  <c r="X25" i="82" a="1"/>
  <c r="X25" i="82" s="1"/>
  <c r="Y20" i="82" a="1"/>
  <c r="Y20" i="82" s="1"/>
  <c r="U20" i="82" a="1"/>
  <c r="U20" i="82" s="1"/>
  <c r="V19" i="82" a="1"/>
  <c r="V19" i="82" s="1"/>
  <c r="X19" i="82" a="1"/>
  <c r="X19" i="82" s="1"/>
  <c r="W19" i="82" a="1"/>
  <c r="W19" i="82" s="1"/>
  <c r="Y25" i="83" a="1"/>
  <c r="Y25" i="83" s="1"/>
  <c r="Y27" i="83" a="1"/>
  <c r="Y27" i="83" s="1"/>
  <c r="W25" i="83" a="1"/>
  <c r="W25" i="83" s="1"/>
  <c r="W51" i="83" s="1"/>
  <c r="U21" i="75" a="1"/>
  <c r="U21" i="75" s="1"/>
  <c r="V32" i="83" a="1"/>
  <c r="V32" i="83" s="1"/>
  <c r="V33" i="83" a="1"/>
  <c r="V33" i="83" s="1"/>
  <c r="U27" i="87" a="1"/>
  <c r="U27" i="87" s="1"/>
  <c r="V25" i="92" a="1"/>
  <c r="V25" i="92" s="1"/>
  <c r="U26" i="92" a="1"/>
  <c r="U26" i="92" s="1"/>
  <c r="W25" i="92" a="1"/>
  <c r="W25" i="92" s="1"/>
  <c r="X25" i="92" a="1"/>
  <c r="X25" i="92" s="1"/>
  <c r="Y26" i="92" a="1"/>
  <c r="Y26" i="92" s="1"/>
  <c r="U34" i="92" a="1"/>
  <c r="U34" i="92" s="1"/>
  <c r="X33" i="92" a="1"/>
  <c r="X33" i="92" s="1"/>
  <c r="W33" i="92" a="1"/>
  <c r="W33" i="92" s="1"/>
  <c r="V33" i="92" a="1"/>
  <c r="V33" i="92" s="1"/>
  <c r="Y34" i="92" a="1"/>
  <c r="Y34" i="92" s="1"/>
  <c r="V23" i="92" a="1"/>
  <c r="V23" i="92" s="1"/>
  <c r="U24" i="92" a="1"/>
  <c r="U24" i="92" s="1"/>
  <c r="X23" i="92" a="1"/>
  <c r="X23" i="92" s="1"/>
  <c r="W23" i="92" a="1"/>
  <c r="W23" i="92" s="1"/>
  <c r="Y24" i="92" a="1"/>
  <c r="Y24" i="92" s="1"/>
  <c r="U15" i="86" a="1"/>
  <c r="U15" i="86" s="1"/>
  <c r="Y15" i="86" a="1"/>
  <c r="Y15" i="86" s="1"/>
  <c r="U15" i="75" a="1"/>
  <c r="U15" i="75" s="1"/>
  <c r="Y15" i="75" a="1"/>
  <c r="Y15" i="75" s="1"/>
  <c r="W29" i="82" a="1"/>
  <c r="W29" i="82" s="1"/>
  <c r="U30" i="82" a="1"/>
  <c r="U30" i="82" s="1"/>
  <c r="X29" i="82" a="1"/>
  <c r="X29" i="82" s="1"/>
  <c r="V29" i="82" a="1"/>
  <c r="V29" i="82" s="1"/>
  <c r="Y30" i="82" a="1"/>
  <c r="Y30" i="82" s="1"/>
  <c r="Y39" i="82" a="1"/>
  <c r="Y39" i="82" s="1"/>
  <c r="X38" i="82" a="1"/>
  <c r="X38" i="82" s="1"/>
  <c r="V38" i="82" a="1"/>
  <c r="V38" i="82" s="1"/>
  <c r="U39" i="82" a="1"/>
  <c r="U39" i="82" s="1"/>
  <c r="W38" i="82" a="1"/>
  <c r="W38" i="82" s="1"/>
  <c r="X40" i="82" a="1"/>
  <c r="X40" i="82" s="1"/>
  <c r="Y41" i="82" a="1"/>
  <c r="Y41" i="82" s="1"/>
  <c r="U41" i="82" a="1"/>
  <c r="U41" i="82" s="1"/>
  <c r="W40" i="82" a="1"/>
  <c r="W40" i="82" s="1"/>
  <c r="V40" i="82" a="1"/>
  <c r="V40" i="82" s="1"/>
  <c r="X37" i="86" a="1"/>
  <c r="X37" i="86" s="1"/>
  <c r="W26" i="92" a="1"/>
  <c r="W26" i="92" s="1"/>
  <c r="U27" i="92" a="1"/>
  <c r="U27" i="92" s="1"/>
  <c r="Y27" i="92" a="1"/>
  <c r="Y27" i="92" s="1"/>
  <c r="V26" i="92" a="1"/>
  <c r="V26" i="92" s="1"/>
  <c r="X26" i="92" a="1"/>
  <c r="X26" i="92" s="1"/>
  <c r="W31" i="92" a="1"/>
  <c r="W31" i="92" s="1"/>
  <c r="V31" i="92" a="1"/>
  <c r="V31" i="92" s="1"/>
  <c r="Y32" i="92" a="1"/>
  <c r="Y32" i="92" s="1"/>
  <c r="X31" i="92" a="1"/>
  <c r="X31" i="92" s="1"/>
  <c r="U32" i="92" a="1"/>
  <c r="U32" i="92" s="1"/>
  <c r="U42" i="92" a="1"/>
  <c r="U42" i="92" s="1"/>
  <c r="X41" i="92" a="1"/>
  <c r="X41" i="92" s="1"/>
  <c r="W41" i="92" a="1"/>
  <c r="W41" i="92" s="1"/>
  <c r="Y42" i="92" a="1"/>
  <c r="Y42" i="92" s="1"/>
  <c r="V41" i="92" a="1"/>
  <c r="V41" i="92" s="1"/>
  <c r="V15" i="86" a="1"/>
  <c r="V15" i="86" s="1"/>
  <c r="W15" i="86" a="1"/>
  <c r="W15" i="86" s="1"/>
  <c r="U16" i="86" a="1"/>
  <c r="U16" i="86" s="1"/>
  <c r="Y16" i="86" a="1"/>
  <c r="Y16" i="86" s="1"/>
  <c r="X15" i="86" a="1"/>
  <c r="X15" i="86" s="1"/>
  <c r="W18" i="75" a="1"/>
  <c r="W18" i="75" s="1"/>
  <c r="X18" i="75" a="1"/>
  <c r="X18" i="75" s="1"/>
  <c r="Y19" i="75" a="1"/>
  <c r="Y19" i="75" s="1"/>
  <c r="U19" i="75" a="1"/>
  <c r="U19" i="75" s="1"/>
  <c r="V18" i="75" a="1"/>
  <c r="V18" i="75" s="1"/>
  <c r="Y43" i="82" a="1"/>
  <c r="Y43" i="82" s="1"/>
  <c r="W42" i="82" a="1"/>
  <c r="W42" i="82" s="1"/>
  <c r="U43" i="82" a="1"/>
  <c r="U43" i="82" s="1"/>
  <c r="X42" i="82" a="1"/>
  <c r="X42" i="82" s="1"/>
  <c r="V42" i="82" a="1"/>
  <c r="V42" i="82" s="1"/>
  <c r="U22" i="82" a="1"/>
  <c r="U22" i="82" s="1"/>
  <c r="W21" i="82" a="1"/>
  <c r="W21" i="82" s="1"/>
  <c r="Y22" i="82" a="1"/>
  <c r="Y22" i="82" s="1"/>
  <c r="V21" i="82" a="1"/>
  <c r="V21" i="82" s="1"/>
  <c r="X21" i="82" a="1"/>
  <c r="X21" i="82" s="1"/>
  <c r="U36" i="82" a="1"/>
  <c r="U36" i="82" s="1"/>
  <c r="Y36" i="82" a="1"/>
  <c r="Y36" i="82" s="1"/>
  <c r="V35" i="82" a="1"/>
  <c r="V35" i="82" s="1"/>
  <c r="X35" i="82" a="1"/>
  <c r="X35" i="82" s="1"/>
  <c r="W35" i="82" a="1"/>
  <c r="W35" i="82" s="1"/>
  <c r="V53" i="84"/>
  <c r="X24" i="92" a="1"/>
  <c r="X24" i="92" s="1"/>
  <c r="W24" i="92" a="1"/>
  <c r="W24" i="92" s="1"/>
  <c r="U25" i="92" a="1"/>
  <c r="U25" i="92" s="1"/>
  <c r="V24" i="92" a="1"/>
  <c r="V24" i="92" s="1"/>
  <c r="Y25" i="92" a="1"/>
  <c r="Y25" i="92" s="1"/>
  <c r="Y40" i="92" a="1"/>
  <c r="Y40" i="92" s="1"/>
  <c r="W39" i="92" a="1"/>
  <c r="W39" i="92" s="1"/>
  <c r="U40" i="92" a="1"/>
  <c r="U40" i="92" s="1"/>
  <c r="X39" i="92" a="1"/>
  <c r="X39" i="92" s="1"/>
  <c r="V39" i="92" a="1"/>
  <c r="V39" i="92" s="1"/>
  <c r="U23" i="92" a="1"/>
  <c r="U23" i="92" s="1"/>
  <c r="Y23" i="92" a="1"/>
  <c r="Y23" i="92" s="1"/>
  <c r="W22" i="92" a="1"/>
  <c r="W22" i="92" s="1"/>
  <c r="X22" i="92" a="1"/>
  <c r="X22" i="92" s="1"/>
  <c r="V22" i="92" a="1"/>
  <c r="V22" i="92" s="1"/>
  <c r="U18" i="75" a="1"/>
  <c r="U18" i="75" s="1"/>
  <c r="X17" i="75" a="1"/>
  <c r="X17" i="75" s="1"/>
  <c r="Y18" i="75" a="1"/>
  <c r="Y18" i="75" s="1"/>
  <c r="W17" i="75" a="1"/>
  <c r="W17" i="75" s="1"/>
  <c r="V17" i="75" a="1"/>
  <c r="V17" i="75" s="1"/>
  <c r="U28" i="82" a="1"/>
  <c r="U28" i="82" s="1"/>
  <c r="V27" i="82" a="1"/>
  <c r="V27" i="82" s="1"/>
  <c r="W27" i="82" a="1"/>
  <c r="W27" i="82" s="1"/>
  <c r="Y28" i="82" a="1"/>
  <c r="Y28" i="82" s="1"/>
  <c r="X27" i="82" a="1"/>
  <c r="X27" i="82" s="1"/>
  <c r="V31" i="82" a="1"/>
  <c r="V31" i="82" s="1"/>
  <c r="X31" i="82" a="1"/>
  <c r="X31" i="82" s="1"/>
  <c r="W31" i="82" a="1"/>
  <c r="W31" i="82" s="1"/>
  <c r="Y32" i="82" a="1"/>
  <c r="Y32" i="82" s="1"/>
  <c r="U32" i="82" a="1"/>
  <c r="U32" i="82" s="1"/>
  <c r="U29" i="82" a="1"/>
  <c r="U29" i="82" s="1"/>
  <c r="V28" i="82" a="1"/>
  <c r="V28" i="82" s="1"/>
  <c r="X28" i="82" a="1"/>
  <c r="X28" i="82" s="1"/>
  <c r="W28" i="82" a="1"/>
  <c r="W28" i="82" s="1"/>
  <c r="Y29" i="82" a="1"/>
  <c r="Y29" i="82" s="1"/>
  <c r="U26" i="87" a="1"/>
  <c r="U26" i="87" s="1"/>
  <c r="W40" i="92" a="1"/>
  <c r="W40" i="92" s="1"/>
  <c r="U41" i="92" a="1"/>
  <c r="U41" i="92" s="1"/>
  <c r="Y41" i="92" a="1"/>
  <c r="Y41" i="92" s="1"/>
  <c r="V40" i="92" a="1"/>
  <c r="V40" i="92" s="1"/>
  <c r="X40" i="92" a="1"/>
  <c r="X40" i="92" s="1"/>
  <c r="U31" i="92" a="1"/>
  <c r="U31" i="92" s="1"/>
  <c r="V30" i="92" a="1"/>
  <c r="V30" i="92" s="1"/>
  <c r="Y31" i="92" a="1"/>
  <c r="Y31" i="92" s="1"/>
  <c r="W30" i="92" a="1"/>
  <c r="W30" i="92" s="1"/>
  <c r="X30" i="92" a="1"/>
  <c r="X30" i="92" s="1"/>
  <c r="V15" i="92" a="1"/>
  <c r="V15" i="92" s="1"/>
  <c r="X15" i="92" a="1"/>
  <c r="X15" i="92" s="1"/>
  <c r="U16" i="92" a="1"/>
  <c r="U16" i="92" s="1"/>
  <c r="Y16" i="92" a="1"/>
  <c r="Y16" i="92" s="1"/>
  <c r="W15" i="92" a="1"/>
  <c r="W15" i="92" s="1"/>
  <c r="V17" i="82" a="1"/>
  <c r="V17" i="82" s="1"/>
  <c r="U18" i="82" a="1"/>
  <c r="U18" i="82" s="1"/>
  <c r="X17" i="82" a="1"/>
  <c r="X17" i="82" s="1"/>
  <c r="Y18" i="82" a="1"/>
  <c r="Y18" i="82" s="1"/>
  <c r="W17" i="82" a="1"/>
  <c r="W17" i="82" s="1"/>
  <c r="U17" i="82" a="1"/>
  <c r="U17" i="82" s="1"/>
  <c r="Y17" i="82" a="1"/>
  <c r="Y17" i="82" s="1"/>
  <c r="X16" i="82" a="1"/>
  <c r="X16" i="82" s="1"/>
  <c r="V16" i="82" a="1"/>
  <c r="V16" i="82" s="1"/>
  <c r="W16" i="82" a="1"/>
  <c r="W16" i="82" s="1"/>
  <c r="U15" i="82" a="1"/>
  <c r="U15" i="82" s="1"/>
  <c r="Y15" i="82" a="1"/>
  <c r="Y15" i="82" s="1"/>
  <c r="Y19" i="92" a="1"/>
  <c r="Y19" i="92" s="1"/>
  <c r="U19" i="92" a="1"/>
  <c r="U19" i="92" s="1"/>
  <c r="X18" i="92" a="1"/>
  <c r="X18" i="92" s="1"/>
  <c r="V18" i="92" a="1"/>
  <c r="V18" i="92" s="1"/>
  <c r="W18" i="92" a="1"/>
  <c r="W18" i="92" s="1"/>
  <c r="X43" i="92" a="1"/>
  <c r="X43" i="92" s="1"/>
  <c r="W43" i="92" a="1"/>
  <c r="W43" i="92" s="1"/>
  <c r="Y44" i="92" a="1"/>
  <c r="Y44" i="92" s="1"/>
  <c r="U44" i="92" a="1"/>
  <c r="U44" i="92" s="1"/>
  <c r="V43" i="92" a="1"/>
  <c r="V43" i="92" s="1"/>
  <c r="U37" i="92" a="1"/>
  <c r="U37" i="92" s="1"/>
  <c r="Y37" i="92" a="1"/>
  <c r="Y37" i="92" s="1"/>
  <c r="V36" i="92" a="1"/>
  <c r="V36" i="92" s="1"/>
  <c r="X36" i="92" a="1"/>
  <c r="X36" i="92" s="1"/>
  <c r="W36" i="92" a="1"/>
  <c r="W36" i="92" s="1"/>
  <c r="X32" i="82" a="1"/>
  <c r="X32" i="82" s="1"/>
  <c r="W32" i="82" a="1"/>
  <c r="W32" i="82" s="1"/>
  <c r="U33" i="82" a="1"/>
  <c r="U33" i="82" s="1"/>
  <c r="V32" i="82" a="1"/>
  <c r="V32" i="82" s="1"/>
  <c r="Y33" i="82" a="1"/>
  <c r="Y33" i="82" s="1"/>
  <c r="U42" i="82" a="1"/>
  <c r="U42" i="82" s="1"/>
  <c r="Y42" i="82" a="1"/>
  <c r="Y42" i="82" s="1"/>
  <c r="X41" i="82" a="1"/>
  <c r="X41" i="82" s="1"/>
  <c r="W41" i="82" a="1"/>
  <c r="W41" i="82" s="1"/>
  <c r="V41" i="82" a="1"/>
  <c r="V41" i="82" s="1"/>
  <c r="V43" i="82" a="1"/>
  <c r="V43" i="82" s="1"/>
  <c r="W43" i="82" a="1"/>
  <c r="W43" i="82" s="1"/>
  <c r="X43" i="82" a="1"/>
  <c r="X43" i="82" s="1"/>
  <c r="V27" i="77" a="1"/>
  <c r="V27" i="77" s="1"/>
  <c r="U28" i="77" a="1"/>
  <c r="U28" i="77" s="1"/>
  <c r="W27" i="77" a="1"/>
  <c r="W27" i="77" s="1"/>
  <c r="X27" i="77" a="1"/>
  <c r="X27" i="77" s="1"/>
  <c r="Y28" i="77" a="1"/>
  <c r="Y28" i="77" s="1"/>
  <c r="V16" i="81" a="1"/>
  <c r="V16" i="81" s="1"/>
  <c r="Y17" i="81" a="1"/>
  <c r="Y17" i="81" s="1"/>
  <c r="U17" i="81" a="1"/>
  <c r="U17" i="81" s="1"/>
  <c r="W16" i="81" a="1"/>
  <c r="W16" i="81" s="1"/>
  <c r="X16" i="81" a="1"/>
  <c r="X16" i="81" s="1"/>
  <c r="V32" i="76" a="1"/>
  <c r="V32" i="76" s="1"/>
  <c r="Y33" i="76" a="1"/>
  <c r="Y33" i="76" s="1"/>
  <c r="W32" i="76" a="1"/>
  <c r="W32" i="76" s="1"/>
  <c r="U33" i="76" a="1"/>
  <c r="U33" i="76" s="1"/>
  <c r="X32" i="76" a="1"/>
  <c r="X32" i="76" s="1"/>
  <c r="X36" i="78" a="1"/>
  <c r="X36" i="78" s="1"/>
  <c r="U37" i="78" a="1"/>
  <c r="U37" i="78" s="1"/>
  <c r="Y37" i="78" a="1"/>
  <c r="Y37" i="78" s="1"/>
  <c r="W36" i="78" a="1"/>
  <c r="W36" i="78" s="1"/>
  <c r="V36" i="78" a="1"/>
  <c r="V36" i="78" s="1"/>
  <c r="Y21" i="91" a="1"/>
  <c r="Y21" i="91" s="1"/>
  <c r="X20" i="91" a="1"/>
  <c r="X20" i="91" s="1"/>
  <c r="U21" i="91" a="1"/>
  <c r="U21" i="91" s="1"/>
  <c r="W20" i="91" a="1"/>
  <c r="W20" i="91" s="1"/>
  <c r="V20" i="91" a="1"/>
  <c r="V20" i="91" s="1"/>
  <c r="U40" i="77" a="1"/>
  <c r="U40" i="77" s="1"/>
  <c r="V39" i="77" a="1"/>
  <c r="V39" i="77" s="1"/>
  <c r="X39" i="77" a="1"/>
  <c r="X39" i="77" s="1"/>
  <c r="Y40" i="77" a="1"/>
  <c r="Y40" i="77" s="1"/>
  <c r="W39" i="77" a="1"/>
  <c r="W39" i="77" s="1"/>
  <c r="U37" i="81" a="1"/>
  <c r="U37" i="81" s="1"/>
  <c r="X36" i="81" a="1"/>
  <c r="X36" i="81" s="1"/>
  <c r="V36" i="81" a="1"/>
  <c r="V36" i="81" s="1"/>
  <c r="Y37" i="81" a="1"/>
  <c r="Y37" i="81" s="1"/>
  <c r="W36" i="81" a="1"/>
  <c r="W36" i="81" s="1"/>
  <c r="U35" i="81" a="1"/>
  <c r="U35" i="81" s="1"/>
  <c r="V34" i="81" a="1"/>
  <c r="V34" i="81" s="1"/>
  <c r="Y35" i="81" a="1"/>
  <c r="Y35" i="81" s="1"/>
  <c r="X34" i="81" a="1"/>
  <c r="X34" i="81" s="1"/>
  <c r="W34" i="81" a="1"/>
  <c r="W34" i="81" s="1"/>
  <c r="U35" i="76" a="1"/>
  <c r="U35" i="76" s="1"/>
  <c r="Y35" i="76" a="1"/>
  <c r="Y35" i="76" s="1"/>
  <c r="W34" i="76" a="1"/>
  <c r="W34" i="76" s="1"/>
  <c r="X34" i="76" a="1"/>
  <c r="X34" i="76" s="1"/>
  <c r="V34" i="76" a="1"/>
  <c r="V34" i="76" s="1"/>
  <c r="V23" i="76" a="1"/>
  <c r="V23" i="76" s="1"/>
  <c r="W23" i="76" a="1"/>
  <c r="W23" i="76" s="1"/>
  <c r="Y24" i="76" a="1"/>
  <c r="Y24" i="76" s="1"/>
  <c r="U24" i="76" a="1"/>
  <c r="U24" i="76" s="1"/>
  <c r="X23" i="76" a="1"/>
  <c r="X23" i="76" s="1"/>
  <c r="U30" i="76" a="1"/>
  <c r="U30" i="76" s="1"/>
  <c r="W29" i="76" a="1"/>
  <c r="W29" i="76" s="1"/>
  <c r="X29" i="76" a="1"/>
  <c r="X29" i="76" s="1"/>
  <c r="Y30" i="76" a="1"/>
  <c r="Y30" i="76" s="1"/>
  <c r="V29" i="76" a="1"/>
  <c r="V29" i="76" s="1"/>
  <c r="W28" i="76" a="1"/>
  <c r="W28" i="76" s="1"/>
  <c r="X28" i="76" a="1"/>
  <c r="X28" i="76" s="1"/>
  <c r="Y29" i="76" a="1"/>
  <c r="Y29" i="76" s="1"/>
  <c r="U29" i="76" a="1"/>
  <c r="U29" i="76" s="1"/>
  <c r="V28" i="76" a="1"/>
  <c r="V28" i="76" s="1"/>
  <c r="U33" i="78" a="1"/>
  <c r="U33" i="78" s="1"/>
  <c r="V32" i="78" a="1"/>
  <c r="V32" i="78" s="1"/>
  <c r="Y33" i="78" a="1"/>
  <c r="Y33" i="78" s="1"/>
  <c r="X32" i="78" a="1"/>
  <c r="X32" i="78" s="1"/>
  <c r="W32" i="78" a="1"/>
  <c r="W32" i="78" s="1"/>
  <c r="U36" i="78" a="1"/>
  <c r="U36" i="78" s="1"/>
  <c r="V35" i="78" a="1"/>
  <c r="V35" i="78" s="1"/>
  <c r="X35" i="78" a="1"/>
  <c r="X35" i="78" s="1"/>
  <c r="Y36" i="78" a="1"/>
  <c r="Y36" i="78" s="1"/>
  <c r="W35" i="78" a="1"/>
  <c r="W35" i="78" s="1"/>
  <c r="X24" i="78" a="1"/>
  <c r="X24" i="78" s="1"/>
  <c r="Y25" i="78" a="1"/>
  <c r="Y25" i="78" s="1"/>
  <c r="W24" i="78" a="1"/>
  <c r="W24" i="78" s="1"/>
  <c r="V24" i="78" a="1"/>
  <c r="V24" i="78" s="1"/>
  <c r="U25" i="78" a="1"/>
  <c r="U25" i="78" s="1"/>
  <c r="X44" i="78" a="1"/>
  <c r="X44" i="78" s="1"/>
  <c r="W44" i="78" a="1"/>
  <c r="W44" i="78" s="1"/>
  <c r="V44" i="78" a="1"/>
  <c r="V44" i="78" s="1"/>
  <c r="U19" i="79" a="1"/>
  <c r="U19" i="79" s="1"/>
  <c r="V18" i="79" a="1"/>
  <c r="V18" i="79" s="1"/>
  <c r="Y19" i="79" a="1"/>
  <c r="Y19" i="79" s="1"/>
  <c r="X18" i="79" a="1"/>
  <c r="X18" i="79" s="1"/>
  <c r="W18" i="79" a="1"/>
  <c r="W18" i="79" s="1"/>
  <c r="X17" i="79" a="1"/>
  <c r="X17" i="79" s="1"/>
  <c r="W17" i="79" a="1"/>
  <c r="W17" i="79" s="1"/>
  <c r="V17" i="79" a="1"/>
  <c r="V17" i="79" s="1"/>
  <c r="Y18" i="79" a="1"/>
  <c r="Y18" i="79" s="1"/>
  <c r="U18" i="79" a="1"/>
  <c r="U18" i="79" s="1"/>
  <c r="V41" i="79" a="1"/>
  <c r="V41" i="79" s="1"/>
  <c r="U42" i="79" a="1"/>
  <c r="U42" i="79" s="1"/>
  <c r="X41" i="79" a="1"/>
  <c r="X41" i="79" s="1"/>
  <c r="Y42" i="79" a="1"/>
  <c r="Y42" i="79" s="1"/>
  <c r="W41" i="79" a="1"/>
  <c r="W41" i="79" s="1"/>
  <c r="V32" i="79" a="1"/>
  <c r="V32" i="79" s="1"/>
  <c r="X32" i="79" a="1"/>
  <c r="X32" i="79" s="1"/>
  <c r="Y33" i="79" a="1"/>
  <c r="Y33" i="79" s="1"/>
  <c r="U33" i="79" a="1"/>
  <c r="U33" i="79" s="1"/>
  <c r="W32" i="79" a="1"/>
  <c r="W32" i="79" s="1"/>
  <c r="Y31" i="91" a="1"/>
  <c r="Y31" i="91" s="1"/>
  <c r="W30" i="91" a="1"/>
  <c r="W30" i="91" s="1"/>
  <c r="V30" i="91" a="1"/>
  <c r="V30" i="91" s="1"/>
  <c r="U31" i="91" a="1"/>
  <c r="U31" i="91" s="1"/>
  <c r="X30" i="91" a="1"/>
  <c r="X30" i="91" s="1"/>
  <c r="X27" i="91" a="1"/>
  <c r="X27" i="91" s="1"/>
  <c r="W27" i="91" a="1"/>
  <c r="W27" i="91" s="1"/>
  <c r="Y28" i="91" a="1"/>
  <c r="Y28" i="91" s="1"/>
  <c r="V27" i="91" a="1"/>
  <c r="V27" i="91" s="1"/>
  <c r="U28" i="91" a="1"/>
  <c r="U28" i="91" s="1"/>
  <c r="X40" i="91" a="1"/>
  <c r="X40" i="91" s="1"/>
  <c r="W40" i="91" a="1"/>
  <c r="W40" i="91" s="1"/>
  <c r="U41" i="91" a="1"/>
  <c r="U41" i="91" s="1"/>
  <c r="Y41" i="91" a="1"/>
  <c r="Y41" i="91" s="1"/>
  <c r="V40" i="91" a="1"/>
  <c r="V40" i="91" s="1"/>
  <c r="Y25" i="81" a="1"/>
  <c r="Y25" i="81" s="1"/>
  <c r="W24" i="81" a="1"/>
  <c r="W24" i="81" s="1"/>
  <c r="U25" i="81" a="1"/>
  <c r="U25" i="81" s="1"/>
  <c r="V24" i="81" a="1"/>
  <c r="V24" i="81" s="1"/>
  <c r="X24" i="81" a="1"/>
  <c r="X24" i="81" s="1"/>
  <c r="V31" i="76" a="1"/>
  <c r="V31" i="76" s="1"/>
  <c r="W31" i="76" a="1"/>
  <c r="W31" i="76" s="1"/>
  <c r="U32" i="76" a="1"/>
  <c r="U32" i="76" s="1"/>
  <c r="X31" i="76" a="1"/>
  <c r="X31" i="76" s="1"/>
  <c r="Y32" i="76" a="1"/>
  <c r="Y32" i="76" s="1"/>
  <c r="U15" i="83" a="1"/>
  <c r="U15" i="83" s="1"/>
  <c r="Y15" i="83" a="1"/>
  <c r="Y15" i="83" s="1"/>
  <c r="Y29" i="78" a="1"/>
  <c r="Y29" i="78" s="1"/>
  <c r="W28" i="78" a="1"/>
  <c r="W28" i="78" s="1"/>
  <c r="U29" i="78" a="1"/>
  <c r="U29" i="78" s="1"/>
  <c r="X28" i="78" a="1"/>
  <c r="X28" i="78" s="1"/>
  <c r="V28" i="78" a="1"/>
  <c r="V28" i="78" s="1"/>
  <c r="W21" i="79" a="1"/>
  <c r="W21" i="79" s="1"/>
  <c r="Y22" i="79" a="1"/>
  <c r="Y22" i="79" s="1"/>
  <c r="U22" i="79" a="1"/>
  <c r="U22" i="79" s="1"/>
  <c r="V21" i="79" a="1"/>
  <c r="V21" i="79" s="1"/>
  <c r="X21" i="79" a="1"/>
  <c r="X21" i="79" s="1"/>
  <c r="V33" i="91" a="1"/>
  <c r="V33" i="91" s="1"/>
  <c r="X33" i="91" a="1"/>
  <c r="X33" i="91" s="1"/>
  <c r="Y34" i="91" a="1"/>
  <c r="Y34" i="91" s="1"/>
  <c r="U34" i="91" a="1"/>
  <c r="U34" i="91" s="1"/>
  <c r="W33" i="91" a="1"/>
  <c r="W33" i="91" s="1"/>
  <c r="X18" i="91" a="1"/>
  <c r="X18" i="91" s="1"/>
  <c r="Y19" i="91" a="1"/>
  <c r="Y19" i="91" s="1"/>
  <c r="W18" i="91" a="1"/>
  <c r="W18" i="91" s="1"/>
  <c r="V18" i="91" a="1"/>
  <c r="V18" i="91" s="1"/>
  <c r="U19" i="91" a="1"/>
  <c r="U19" i="91" s="1"/>
  <c r="U22" i="77" a="1"/>
  <c r="U22" i="77" s="1"/>
  <c r="X21" i="77" a="1"/>
  <c r="X21" i="77" s="1"/>
  <c r="Y22" i="77" a="1"/>
  <c r="Y22" i="77" s="1"/>
  <c r="V21" i="77" a="1"/>
  <c r="V21" i="77" s="1"/>
  <c r="W21" i="77" a="1"/>
  <c r="W21" i="77" s="1"/>
  <c r="U42" i="77" a="1"/>
  <c r="U42" i="77" s="1"/>
  <c r="X41" i="77" a="1"/>
  <c r="X41" i="77" s="1"/>
  <c r="V41" i="77" a="1"/>
  <c r="V41" i="77" s="1"/>
  <c r="Y42" i="77" a="1"/>
  <c r="Y42" i="77" s="1"/>
  <c r="W41" i="77" a="1"/>
  <c r="W41" i="77" s="1"/>
  <c r="X42" i="81" a="1"/>
  <c r="X42" i="81" s="1"/>
  <c r="Y43" i="81" a="1"/>
  <c r="Y43" i="81" s="1"/>
  <c r="W42" i="81" a="1"/>
  <c r="W42" i="81" s="1"/>
  <c r="V42" i="81" a="1"/>
  <c r="V42" i="81" s="1"/>
  <c r="U43" i="81" a="1"/>
  <c r="U43" i="81" s="1"/>
  <c r="U36" i="81" a="1"/>
  <c r="U36" i="81" s="1"/>
  <c r="X35" i="81" a="1"/>
  <c r="X35" i="81" s="1"/>
  <c r="V35" i="81" a="1"/>
  <c r="V35" i="81" s="1"/>
  <c r="Y36" i="81" a="1"/>
  <c r="Y36" i="81" s="1"/>
  <c r="W35" i="81" a="1"/>
  <c r="W35" i="81" s="1"/>
  <c r="W40" i="77" a="1"/>
  <c r="W40" i="77" s="1"/>
  <c r="U41" i="77" a="1"/>
  <c r="U41" i="77" s="1"/>
  <c r="Y41" i="77" a="1"/>
  <c r="Y41" i="77" s="1"/>
  <c r="V40" i="77" a="1"/>
  <c r="V40" i="77" s="1"/>
  <c r="X40" i="77" a="1"/>
  <c r="X40" i="77" s="1"/>
  <c r="U36" i="77" a="1"/>
  <c r="U36" i="77" s="1"/>
  <c r="W35" i="77" a="1"/>
  <c r="W35" i="77" s="1"/>
  <c r="X35" i="77" a="1"/>
  <c r="X35" i="77" s="1"/>
  <c r="Y36" i="77" a="1"/>
  <c r="Y36" i="77" s="1"/>
  <c r="V35" i="77" a="1"/>
  <c r="V35" i="77" s="1"/>
  <c r="U34" i="77" a="1"/>
  <c r="U34" i="77" s="1"/>
  <c r="W33" i="77" a="1"/>
  <c r="W33" i="77" s="1"/>
  <c r="Y34" i="77" a="1"/>
  <c r="Y34" i="77" s="1"/>
  <c r="X33" i="77" a="1"/>
  <c r="X33" i="77" s="1"/>
  <c r="V33" i="77" a="1"/>
  <c r="V33" i="77" s="1"/>
  <c r="U32" i="77" a="1"/>
  <c r="U32" i="77" s="1"/>
  <c r="V31" i="77" a="1"/>
  <c r="V31" i="77" s="1"/>
  <c r="Y32" i="77" a="1"/>
  <c r="Y32" i="77" s="1"/>
  <c r="W31" i="77" a="1"/>
  <c r="W31" i="77" s="1"/>
  <c r="X31" i="77" a="1"/>
  <c r="X31" i="77" s="1"/>
  <c r="T14" i="81"/>
  <c r="K45" i="81"/>
  <c r="X28" i="81" a="1"/>
  <c r="X28" i="81" s="1"/>
  <c r="U29" i="81" a="1"/>
  <c r="U29" i="81" s="1"/>
  <c r="W28" i="81" a="1"/>
  <c r="W28" i="81" s="1"/>
  <c r="Y29" i="81" a="1"/>
  <c r="Y29" i="81" s="1"/>
  <c r="V28" i="81" a="1"/>
  <c r="V28" i="81" s="1"/>
  <c r="X30" i="81" a="1"/>
  <c r="X30" i="81" s="1"/>
  <c r="V30" i="81" a="1"/>
  <c r="V30" i="81" s="1"/>
  <c r="Y31" i="81" a="1"/>
  <c r="Y31" i="81" s="1"/>
  <c r="W30" i="81" a="1"/>
  <c r="W30" i="81" s="1"/>
  <c r="U31" i="81" a="1"/>
  <c r="U31" i="81" s="1"/>
  <c r="Y30" i="81" a="1"/>
  <c r="Y30" i="81" s="1"/>
  <c r="X29" i="81" a="1"/>
  <c r="X29" i="81" s="1"/>
  <c r="U30" i="81" a="1"/>
  <c r="U30" i="81" s="1"/>
  <c r="V29" i="81" a="1"/>
  <c r="V29" i="81" s="1"/>
  <c r="W29" i="81" a="1"/>
  <c r="W29" i="81" s="1"/>
  <c r="W51" i="80"/>
  <c r="X44" i="76" a="1"/>
  <c r="X44" i="76" s="1"/>
  <c r="V44" i="76" a="1"/>
  <c r="V44" i="76" s="1"/>
  <c r="W44" i="76" a="1"/>
  <c r="W44" i="76" s="1"/>
  <c r="Y43" i="76" a="1"/>
  <c r="Y43" i="76" s="1"/>
  <c r="W42" i="76" a="1"/>
  <c r="W42" i="76" s="1"/>
  <c r="X42" i="76" a="1"/>
  <c r="X42" i="76" s="1"/>
  <c r="U43" i="76" a="1"/>
  <c r="U43" i="76" s="1"/>
  <c r="V42" i="76" a="1"/>
  <c r="V42" i="76" s="1"/>
  <c r="V25" i="76" a="1"/>
  <c r="V25" i="76" s="1"/>
  <c r="Y26" i="76" a="1"/>
  <c r="Y26" i="76" s="1"/>
  <c r="U26" i="76" a="1"/>
  <c r="U26" i="76" s="1"/>
  <c r="W25" i="76" a="1"/>
  <c r="W25" i="76" s="1"/>
  <c r="X25" i="76" a="1"/>
  <c r="X25" i="76" s="1"/>
  <c r="X24" i="76" a="1"/>
  <c r="X24" i="76" s="1"/>
  <c r="V24" i="76" a="1"/>
  <c r="V24" i="76" s="1"/>
  <c r="Y25" i="76" a="1"/>
  <c r="Y25" i="76" s="1"/>
  <c r="W24" i="76" a="1"/>
  <c r="W24" i="76" s="1"/>
  <c r="U25" i="76" a="1"/>
  <c r="U25" i="76" s="1"/>
  <c r="U44" i="78" a="1"/>
  <c r="U44" i="78" s="1"/>
  <c r="Y44" i="78" a="1"/>
  <c r="Y44" i="78" s="1"/>
  <c r="V43" i="78" a="1"/>
  <c r="V43" i="78" s="1"/>
  <c r="X43" i="78" a="1"/>
  <c r="X43" i="78" s="1"/>
  <c r="W43" i="78" a="1"/>
  <c r="W43" i="78" s="1"/>
  <c r="U30" i="78" a="1"/>
  <c r="U30" i="78" s="1"/>
  <c r="V29" i="78" a="1"/>
  <c r="V29" i="78" s="1"/>
  <c r="X29" i="78" a="1"/>
  <c r="X29" i="78" s="1"/>
  <c r="Y30" i="78" a="1"/>
  <c r="Y30" i="78" s="1"/>
  <c r="W29" i="78" a="1"/>
  <c r="W29" i="78" s="1"/>
  <c r="V20" i="78" a="1"/>
  <c r="V20" i="78" s="1"/>
  <c r="U21" i="78" a="1"/>
  <c r="U21" i="78" s="1"/>
  <c r="Y21" i="78" a="1"/>
  <c r="Y21" i="78" s="1"/>
  <c r="W20" i="78" a="1"/>
  <c r="W20" i="78" s="1"/>
  <c r="X20" i="78" a="1"/>
  <c r="X20" i="78" s="1"/>
  <c r="X41" i="78" a="1"/>
  <c r="X41" i="78" s="1"/>
  <c r="Y42" i="78" a="1"/>
  <c r="Y42" i="78" s="1"/>
  <c r="W41" i="78" a="1"/>
  <c r="W41" i="78" s="1"/>
  <c r="U42" i="78" a="1"/>
  <c r="U42" i="78" s="1"/>
  <c r="V41" i="78" a="1"/>
  <c r="V41" i="78" s="1"/>
  <c r="U29" i="79" a="1"/>
  <c r="U29" i="79" s="1"/>
  <c r="V28" i="79" a="1"/>
  <c r="V28" i="79" s="1"/>
  <c r="Y29" i="79" a="1"/>
  <c r="Y29" i="79" s="1"/>
  <c r="W28" i="79" a="1"/>
  <c r="W28" i="79" s="1"/>
  <c r="X28" i="79" a="1"/>
  <c r="X28" i="79" s="1"/>
  <c r="U41" i="79" a="1"/>
  <c r="U41" i="79" s="1"/>
  <c r="V40" i="79" a="1"/>
  <c r="V40" i="79" s="1"/>
  <c r="Y41" i="79" a="1"/>
  <c r="Y41" i="79" s="1"/>
  <c r="W40" i="79" a="1"/>
  <c r="W40" i="79" s="1"/>
  <c r="X40" i="79" a="1"/>
  <c r="X40" i="79" s="1"/>
  <c r="W30" i="79" a="1"/>
  <c r="W30" i="79" s="1"/>
  <c r="Y31" i="79" a="1"/>
  <c r="Y31" i="79" s="1"/>
  <c r="V30" i="79" a="1"/>
  <c r="V30" i="79" s="1"/>
  <c r="X30" i="79" a="1"/>
  <c r="X30" i="79" s="1"/>
  <c r="U31" i="79" a="1"/>
  <c r="U31" i="79" s="1"/>
  <c r="U28" i="79" a="1"/>
  <c r="U28" i="79" s="1"/>
  <c r="V27" i="79" a="1"/>
  <c r="V27" i="79" s="1"/>
  <c r="Y28" i="79" a="1"/>
  <c r="Y28" i="79" s="1"/>
  <c r="X27" i="79" a="1"/>
  <c r="X27" i="79" s="1"/>
  <c r="W27" i="79" a="1"/>
  <c r="W27" i="79" s="1"/>
  <c r="X22" i="91" a="1"/>
  <c r="X22" i="91" s="1"/>
  <c r="V22" i="91" a="1"/>
  <c r="V22" i="91" s="1"/>
  <c r="W22" i="91" a="1"/>
  <c r="W22" i="91" s="1"/>
  <c r="Y23" i="91" a="1"/>
  <c r="Y23" i="91" s="1"/>
  <c r="U23" i="91" a="1"/>
  <c r="U23" i="91" s="1"/>
  <c r="V17" i="91" a="1"/>
  <c r="V17" i="91" s="1"/>
  <c r="U18" i="91" a="1"/>
  <c r="U18" i="91" s="1"/>
  <c r="Y18" i="91" a="1"/>
  <c r="Y18" i="91" s="1"/>
  <c r="W17" i="91" a="1"/>
  <c r="W17" i="91" s="1"/>
  <c r="X17" i="91" a="1"/>
  <c r="X17" i="91" s="1"/>
  <c r="Y37" i="91" a="1"/>
  <c r="Y37" i="91" s="1"/>
  <c r="W36" i="91" a="1"/>
  <c r="W36" i="91" s="1"/>
  <c r="V36" i="91" a="1"/>
  <c r="V36" i="91" s="1"/>
  <c r="X36" i="91" a="1"/>
  <c r="X36" i="91" s="1"/>
  <c r="U37" i="91" a="1"/>
  <c r="U37" i="91" s="1"/>
  <c r="U17" i="77" a="1"/>
  <c r="U17" i="77" s="1"/>
  <c r="V16" i="77" a="1"/>
  <c r="V16" i="77" s="1"/>
  <c r="W16" i="77" a="1"/>
  <c r="W16" i="77" s="1"/>
  <c r="X16" i="77" a="1"/>
  <c r="X16" i="77" s="1"/>
  <c r="Y17" i="77" a="1"/>
  <c r="Y17" i="77" s="1"/>
  <c r="V40" i="81" a="1"/>
  <c r="V40" i="81" s="1"/>
  <c r="X40" i="81" a="1"/>
  <c r="X40" i="81" s="1"/>
  <c r="U41" i="81" a="1"/>
  <c r="U41" i="81" s="1"/>
  <c r="Y41" i="81" a="1"/>
  <c r="Y41" i="81" s="1"/>
  <c r="W40" i="81" a="1"/>
  <c r="W40" i="81" s="1"/>
  <c r="X35" i="76" a="1"/>
  <c r="X35" i="76" s="1"/>
  <c r="Y36" i="76" a="1"/>
  <c r="Y36" i="76" s="1"/>
  <c r="U36" i="76" a="1"/>
  <c r="U36" i="76" s="1"/>
  <c r="V35" i="76" a="1"/>
  <c r="V35" i="76" s="1"/>
  <c r="W35" i="76" a="1"/>
  <c r="W35" i="76" s="1"/>
  <c r="Y23" i="78" a="1"/>
  <c r="Y23" i="78" s="1"/>
  <c r="U23" i="78" a="1"/>
  <c r="U23" i="78" s="1"/>
  <c r="V22" i="78" a="1"/>
  <c r="V22" i="78" s="1"/>
  <c r="X22" i="78" a="1"/>
  <c r="X22" i="78" s="1"/>
  <c r="W22" i="78" a="1"/>
  <c r="W22" i="78" s="1"/>
  <c r="W38" i="79" a="1"/>
  <c r="W38" i="79" s="1"/>
  <c r="U39" i="79" a="1"/>
  <c r="U39" i="79" s="1"/>
  <c r="V38" i="79" a="1"/>
  <c r="V38" i="79" s="1"/>
  <c r="Y39" i="79" a="1"/>
  <c r="Y39" i="79" s="1"/>
  <c r="X38" i="79" a="1"/>
  <c r="X38" i="79" s="1"/>
  <c r="X15" i="91" a="1"/>
  <c r="X15" i="91" s="1"/>
  <c r="Y16" i="91" a="1"/>
  <c r="Y16" i="91" s="1"/>
  <c r="W15" i="91" a="1"/>
  <c r="W15" i="91" s="1"/>
  <c r="V15" i="91" a="1"/>
  <c r="V15" i="91" s="1"/>
  <c r="U16" i="91" a="1"/>
  <c r="U16" i="91" s="1"/>
  <c r="U38" i="77" a="1"/>
  <c r="U38" i="77" s="1"/>
  <c r="V37" i="77" a="1"/>
  <c r="V37" i="77" s="1"/>
  <c r="X37" i="77" a="1"/>
  <c r="X37" i="77" s="1"/>
  <c r="Y38" i="77" a="1"/>
  <c r="Y38" i="77" s="1"/>
  <c r="W37" i="77" a="1"/>
  <c r="W37" i="77" s="1"/>
  <c r="U33" i="77" a="1"/>
  <c r="U33" i="77" s="1"/>
  <c r="W32" i="77" a="1"/>
  <c r="W32" i="77" s="1"/>
  <c r="X32" i="77" a="1"/>
  <c r="X32" i="77" s="1"/>
  <c r="V32" i="77" a="1"/>
  <c r="V32" i="77" s="1"/>
  <c r="Y33" i="77" a="1"/>
  <c r="Y33" i="77" s="1"/>
  <c r="W44" i="77" a="1"/>
  <c r="W44" i="77" s="1"/>
  <c r="X44" i="77" a="1"/>
  <c r="X44" i="77" s="1"/>
  <c r="V44" i="77" a="1"/>
  <c r="V44" i="77" s="1"/>
  <c r="U26" i="77" a="1"/>
  <c r="U26" i="77" s="1"/>
  <c r="V25" i="77" a="1"/>
  <c r="V25" i="77" s="1"/>
  <c r="X25" i="77" a="1"/>
  <c r="X25" i="77" s="1"/>
  <c r="Y26" i="77" a="1"/>
  <c r="Y26" i="77" s="1"/>
  <c r="W25" i="77" a="1"/>
  <c r="W25" i="77" s="1"/>
  <c r="U24" i="77" a="1"/>
  <c r="U24" i="77" s="1"/>
  <c r="V23" i="77" a="1"/>
  <c r="V23" i="77" s="1"/>
  <c r="W23" i="77" a="1"/>
  <c r="W23" i="77" s="1"/>
  <c r="Y24" i="77" a="1"/>
  <c r="Y24" i="77" s="1"/>
  <c r="X23" i="77" a="1"/>
  <c r="X23" i="77" s="1"/>
  <c r="W38" i="81" a="1"/>
  <c r="W38" i="81" s="1"/>
  <c r="U39" i="81" a="1"/>
  <c r="U39" i="81" s="1"/>
  <c r="Y39" i="81" a="1"/>
  <c r="Y39" i="81" s="1"/>
  <c r="X38" i="81" a="1"/>
  <c r="X38" i="81" s="1"/>
  <c r="V38" i="81" a="1"/>
  <c r="V38" i="81" s="1"/>
  <c r="X31" i="81" a="1"/>
  <c r="X31" i="81" s="1"/>
  <c r="Y32" i="81" a="1"/>
  <c r="Y32" i="81" s="1"/>
  <c r="V31" i="81" a="1"/>
  <c r="V31" i="81" s="1"/>
  <c r="U32" i="81" a="1"/>
  <c r="U32" i="81" s="1"/>
  <c r="W31" i="81" a="1"/>
  <c r="W31" i="81" s="1"/>
  <c r="U27" i="81" a="1"/>
  <c r="U27" i="81" s="1"/>
  <c r="Y27" i="81" a="1"/>
  <c r="Y27" i="81" s="1"/>
  <c r="V26" i="81" a="1"/>
  <c r="V26" i="81" s="1"/>
  <c r="X26" i="81" a="1"/>
  <c r="X26" i="81" s="1"/>
  <c r="W26" i="81" a="1"/>
  <c r="W26" i="81" s="1"/>
  <c r="U26" i="81" a="1"/>
  <c r="U26" i="81" s="1"/>
  <c r="V25" i="81" a="1"/>
  <c r="V25" i="81" s="1"/>
  <c r="Y26" i="81" a="1"/>
  <c r="Y26" i="81" s="1"/>
  <c r="X25" i="81" a="1"/>
  <c r="X25" i="81" s="1"/>
  <c r="W25" i="81" a="1"/>
  <c r="W25" i="81" s="1"/>
  <c r="X27" i="76" a="1"/>
  <c r="X27" i="76" s="1"/>
  <c r="Y28" i="76" a="1"/>
  <c r="Y28" i="76" s="1"/>
  <c r="U28" i="76" a="1"/>
  <c r="U28" i="76" s="1"/>
  <c r="V27" i="76" a="1"/>
  <c r="V27" i="76" s="1"/>
  <c r="W27" i="76" a="1"/>
  <c r="W27" i="76" s="1"/>
  <c r="V38" i="76" a="1"/>
  <c r="V38" i="76" s="1"/>
  <c r="X38" i="76" a="1"/>
  <c r="X38" i="76" s="1"/>
  <c r="Y39" i="76" a="1"/>
  <c r="Y39" i="76" s="1"/>
  <c r="W38" i="76" a="1"/>
  <c r="W38" i="76" s="1"/>
  <c r="U39" i="76" a="1"/>
  <c r="U39" i="76" s="1"/>
  <c r="W20" i="76" a="1"/>
  <c r="W20" i="76" s="1"/>
  <c r="U21" i="76" a="1"/>
  <c r="U21" i="76" s="1"/>
  <c r="V20" i="76" a="1"/>
  <c r="V20" i="76" s="1"/>
  <c r="X20" i="76" a="1"/>
  <c r="X20" i="76" s="1"/>
  <c r="Y21" i="76" a="1"/>
  <c r="Y21" i="76" s="1"/>
  <c r="U20" i="76" a="1"/>
  <c r="U20" i="76" s="1"/>
  <c r="X19" i="76" a="1"/>
  <c r="X19" i="76" s="1"/>
  <c r="Y20" i="76" a="1"/>
  <c r="Y20" i="76" s="1"/>
  <c r="V19" i="76" a="1"/>
  <c r="V19" i="76" s="1"/>
  <c r="W19" i="76" a="1"/>
  <c r="W19" i="76" s="1"/>
  <c r="W25" i="78" a="1"/>
  <c r="W25" i="78" s="1"/>
  <c r="X25" i="78" a="1"/>
  <c r="X25" i="78" s="1"/>
  <c r="Y26" i="78" a="1"/>
  <c r="Y26" i="78" s="1"/>
  <c r="V25" i="78" a="1"/>
  <c r="V25" i="78" s="1"/>
  <c r="U26" i="78" a="1"/>
  <c r="U26" i="78" s="1"/>
  <c r="Y16" i="78" a="1"/>
  <c r="Y16" i="78" s="1"/>
  <c r="X15" i="78" a="1"/>
  <c r="X15" i="78" s="1"/>
  <c r="V15" i="78" a="1"/>
  <c r="V15" i="78" s="1"/>
  <c r="U16" i="78" a="1"/>
  <c r="U16" i="78" s="1"/>
  <c r="W15" i="78" a="1"/>
  <c r="W15" i="78" s="1"/>
  <c r="T14" i="78"/>
  <c r="K45" i="78"/>
  <c r="X33" i="78" a="1"/>
  <c r="X33" i="78" s="1"/>
  <c r="Y34" i="78" a="1"/>
  <c r="Y34" i="78" s="1"/>
  <c r="W33" i="78" a="1"/>
  <c r="W33" i="78" s="1"/>
  <c r="U34" i="78" a="1"/>
  <c r="U34" i="78" s="1"/>
  <c r="V33" i="78" a="1"/>
  <c r="V33" i="78" s="1"/>
  <c r="W37" i="79" a="1"/>
  <c r="W37" i="79" s="1"/>
  <c r="X37" i="79" a="1"/>
  <c r="X37" i="79" s="1"/>
  <c r="Y38" i="79" a="1"/>
  <c r="Y38" i="79" s="1"/>
  <c r="U38" i="79" a="1"/>
  <c r="U38" i="79" s="1"/>
  <c r="V37" i="79" a="1"/>
  <c r="V37" i="79" s="1"/>
  <c r="X31" i="79" a="1"/>
  <c r="X31" i="79" s="1"/>
  <c r="Y32" i="79" a="1"/>
  <c r="Y32" i="79" s="1"/>
  <c r="X23" i="79" a="1"/>
  <c r="X23" i="79" s="1"/>
  <c r="U24" i="79" a="1"/>
  <c r="U24" i="79" s="1"/>
  <c r="V23" i="79" a="1"/>
  <c r="V23" i="79" s="1"/>
  <c r="Y24" i="79" a="1"/>
  <c r="Y24" i="79" s="1"/>
  <c r="W23" i="79" a="1"/>
  <c r="W23" i="79" s="1"/>
  <c r="Y30" i="91" a="1"/>
  <c r="Y30" i="91" s="1"/>
  <c r="W29" i="91" a="1"/>
  <c r="W29" i="91" s="1"/>
  <c r="V29" i="91" a="1"/>
  <c r="V29" i="91" s="1"/>
  <c r="U30" i="91" a="1"/>
  <c r="U30" i="91" s="1"/>
  <c r="X29" i="91" a="1"/>
  <c r="X29" i="91" s="1"/>
  <c r="V41" i="91" a="1"/>
  <c r="V41" i="91" s="1"/>
  <c r="X41" i="91" a="1"/>
  <c r="X41" i="91" s="1"/>
  <c r="W41" i="91" a="1"/>
  <c r="W41" i="91" s="1"/>
  <c r="U32" i="91" a="1"/>
  <c r="U32" i="91" s="1"/>
  <c r="X31" i="91" a="1"/>
  <c r="X31" i="91" s="1"/>
  <c r="Y32" i="91" a="1"/>
  <c r="Y32" i="91" s="1"/>
  <c r="W31" i="91" a="1"/>
  <c r="W31" i="91" s="1"/>
  <c r="V31" i="91" a="1"/>
  <c r="V31" i="91" s="1"/>
  <c r="U25" i="77" a="1"/>
  <c r="U25" i="77" s="1"/>
  <c r="Y25" i="77" a="1"/>
  <c r="Y25" i="77" s="1"/>
  <c r="W24" i="77" a="1"/>
  <c r="W24" i="77" s="1"/>
  <c r="X24" i="77" a="1"/>
  <c r="X24" i="77" s="1"/>
  <c r="V24" i="77" a="1"/>
  <c r="V24" i="77" s="1"/>
  <c r="V33" i="76" a="1"/>
  <c r="V33" i="76" s="1"/>
  <c r="W33" i="76" a="1"/>
  <c r="W33" i="76" s="1"/>
  <c r="U34" i="76" a="1"/>
  <c r="U34" i="76" s="1"/>
  <c r="Y34" i="76" a="1"/>
  <c r="Y34" i="76" s="1"/>
  <c r="X33" i="76" a="1"/>
  <c r="X33" i="76" s="1"/>
  <c r="W16" i="79" a="1"/>
  <c r="W16" i="79" s="1"/>
  <c r="U43" i="77" a="1"/>
  <c r="U43" i="77" s="1"/>
  <c r="W42" i="77" a="1"/>
  <c r="W42" i="77" s="1"/>
  <c r="Y43" i="77" a="1"/>
  <c r="Y43" i="77" s="1"/>
  <c r="V42" i="77" a="1"/>
  <c r="V42" i="77" s="1"/>
  <c r="X42" i="77" a="1"/>
  <c r="X42" i="77" s="1"/>
  <c r="U44" i="77" a="1"/>
  <c r="U44" i="77" s="1"/>
  <c r="V43" i="77" a="1"/>
  <c r="V43" i="77" s="1"/>
  <c r="X43" i="77" a="1"/>
  <c r="X43" i="77" s="1"/>
  <c r="Y44" i="77" a="1"/>
  <c r="Y44" i="77" s="1"/>
  <c r="W43" i="77" a="1"/>
  <c r="W43" i="77" s="1"/>
  <c r="U18" i="77" a="1"/>
  <c r="U18" i="77" s="1"/>
  <c r="W17" i="77" a="1"/>
  <c r="W17" i="77" s="1"/>
  <c r="X17" i="77" a="1"/>
  <c r="X17" i="77" s="1"/>
  <c r="Y18" i="77" a="1"/>
  <c r="Y18" i="77" s="1"/>
  <c r="V17" i="77" a="1"/>
  <c r="V17" i="77" s="1"/>
  <c r="Y34" i="81" a="1"/>
  <c r="Y34" i="81" s="1"/>
  <c r="X33" i="81" a="1"/>
  <c r="X33" i="81" s="1"/>
  <c r="V33" i="81" a="1"/>
  <c r="V33" i="81" s="1"/>
  <c r="W33" i="81" a="1"/>
  <c r="W33" i="81" s="1"/>
  <c r="U34" i="81" a="1"/>
  <c r="U34" i="81" s="1"/>
  <c r="U44" i="81" a="1"/>
  <c r="U44" i="81" s="1"/>
  <c r="Y44" i="81" a="1"/>
  <c r="Y44" i="81" s="1"/>
  <c r="V43" i="81" a="1"/>
  <c r="V43" i="81" s="1"/>
  <c r="W43" i="81" a="1"/>
  <c r="W43" i="81" s="1"/>
  <c r="X43" i="81" a="1"/>
  <c r="X43" i="81" s="1"/>
  <c r="X22" i="81" a="1"/>
  <c r="X22" i="81" s="1"/>
  <c r="V22" i="81" a="1"/>
  <c r="V22" i="81" s="1"/>
  <c r="W22" i="81" a="1"/>
  <c r="W22" i="81" s="1"/>
  <c r="Y23" i="81" a="1"/>
  <c r="Y23" i="81" s="1"/>
  <c r="U23" i="81" a="1"/>
  <c r="U23" i="81" s="1"/>
  <c r="V21" i="81" a="1"/>
  <c r="V21" i="81" s="1"/>
  <c r="Y22" i="81" a="1"/>
  <c r="Y22" i="81" s="1"/>
  <c r="U22" i="81" a="1"/>
  <c r="U22" i="81" s="1"/>
  <c r="X21" i="81" a="1"/>
  <c r="X21" i="81" s="1"/>
  <c r="W21" i="81" a="1"/>
  <c r="W21" i="81" s="1"/>
  <c r="X53" i="80"/>
  <c r="Y16" i="73" a="1"/>
  <c r="Y16" i="73" s="1"/>
  <c r="Y53" i="73" s="1"/>
  <c r="X15" i="73" a="1"/>
  <c r="X15" i="73" s="1"/>
  <c r="U16" i="73" a="1"/>
  <c r="U16" i="73" s="1"/>
  <c r="W15" i="73" a="1"/>
  <c r="W15" i="73" s="1"/>
  <c r="W51" i="73" s="1"/>
  <c r="V15" i="73" a="1"/>
  <c r="V15" i="73" s="1"/>
  <c r="X21" i="76" a="1"/>
  <c r="X21" i="76" s="1"/>
  <c r="Y22" i="76" a="1"/>
  <c r="Y22" i="76" s="1"/>
  <c r="U22" i="76" a="1"/>
  <c r="U22" i="76" s="1"/>
  <c r="V21" i="76" a="1"/>
  <c r="V21" i="76" s="1"/>
  <c r="W21" i="76" a="1"/>
  <c r="W21" i="76" s="1"/>
  <c r="V30" i="76" a="1"/>
  <c r="V30" i="76" s="1"/>
  <c r="X30" i="76" a="1"/>
  <c r="X30" i="76" s="1"/>
  <c r="Y31" i="76" a="1"/>
  <c r="Y31" i="76" s="1"/>
  <c r="U31" i="76" a="1"/>
  <c r="U31" i="76" s="1"/>
  <c r="W30" i="76" a="1"/>
  <c r="W30" i="76" s="1"/>
  <c r="X15" i="76" a="1"/>
  <c r="X15" i="76" s="1"/>
  <c r="W15" i="76" a="1"/>
  <c r="W15" i="76" s="1"/>
  <c r="Y16" i="76" a="1"/>
  <c r="Y16" i="76" s="1"/>
  <c r="U16" i="76" a="1"/>
  <c r="U16" i="76" s="1"/>
  <c r="V15" i="76" a="1"/>
  <c r="V15" i="76" s="1"/>
  <c r="T14" i="76"/>
  <c r="K45" i="76"/>
  <c r="V38" i="78" a="1"/>
  <c r="V38" i="78" s="1"/>
  <c r="X38" i="78" a="1"/>
  <c r="X38" i="78" s="1"/>
  <c r="W38" i="78" a="1"/>
  <c r="W38" i="78" s="1"/>
  <c r="U39" i="78" a="1"/>
  <c r="U39" i="78" s="1"/>
  <c r="Y39" i="78" a="1"/>
  <c r="Y39" i="78" s="1"/>
  <c r="V40" i="78" a="1"/>
  <c r="V40" i="78" s="1"/>
  <c r="X40" i="78" a="1"/>
  <c r="X40" i="78" s="1"/>
  <c r="U41" i="78" a="1"/>
  <c r="U41" i="78" s="1"/>
  <c r="W40" i="78" a="1"/>
  <c r="W40" i="78" s="1"/>
  <c r="Y41" i="78" a="1"/>
  <c r="Y41" i="78" s="1"/>
  <c r="V30" i="78" a="1"/>
  <c r="V30" i="78" s="1"/>
  <c r="U31" i="78" a="1"/>
  <c r="U31" i="78" s="1"/>
  <c r="Y31" i="78" a="1"/>
  <c r="Y31" i="78" s="1"/>
  <c r="X30" i="78" a="1"/>
  <c r="X30" i="78" s="1"/>
  <c r="W30" i="78" a="1"/>
  <c r="W30" i="78" s="1"/>
  <c r="V21" i="78" a="1"/>
  <c r="V21" i="78" s="1"/>
  <c r="U22" i="78" a="1"/>
  <c r="U22" i="78" s="1"/>
  <c r="Y22" i="78" a="1"/>
  <c r="Y22" i="78" s="1"/>
  <c r="W21" i="78" a="1"/>
  <c r="W21" i="78" s="1"/>
  <c r="X21" i="78" a="1"/>
  <c r="X21" i="78" s="1"/>
  <c r="X44" i="79" a="1"/>
  <c r="X44" i="79" s="1"/>
  <c r="V44" i="79" a="1"/>
  <c r="V44" i="79" s="1"/>
  <c r="W44" i="79" a="1"/>
  <c r="W44" i="79" s="1"/>
  <c r="W22" i="79" a="1"/>
  <c r="W22" i="79" s="1"/>
  <c r="U23" i="79" a="1"/>
  <c r="U23" i="79" s="1"/>
  <c r="V22" i="79" a="1"/>
  <c r="V22" i="79" s="1"/>
  <c r="X22" i="79" a="1"/>
  <c r="X22" i="79" s="1"/>
  <c r="Y23" i="79" a="1"/>
  <c r="Y23" i="79" s="1"/>
  <c r="X35" i="79" a="1"/>
  <c r="X35" i="79" s="1"/>
  <c r="U36" i="79" a="1"/>
  <c r="U36" i="79" s="1"/>
  <c r="V35" i="79" a="1"/>
  <c r="V35" i="79" s="1"/>
  <c r="Y36" i="79" a="1"/>
  <c r="Y36" i="79" s="1"/>
  <c r="W35" i="79" a="1"/>
  <c r="W35" i="79" s="1"/>
  <c r="W19" i="79" a="1"/>
  <c r="W19" i="79" s="1"/>
  <c r="U15" i="80" a="1"/>
  <c r="U15" i="80" s="1"/>
  <c r="Y15" i="80" a="1"/>
  <c r="Y15" i="80" s="1"/>
  <c r="Y53" i="80" s="1"/>
  <c r="U24" i="91" a="1"/>
  <c r="U24" i="91" s="1"/>
  <c r="W23" i="91" a="1"/>
  <c r="W23" i="91" s="1"/>
  <c r="X23" i="91" a="1"/>
  <c r="X23" i="91" s="1"/>
  <c r="V23" i="91" a="1"/>
  <c r="V23" i="91" s="1"/>
  <c r="Y24" i="91" a="1"/>
  <c r="Y24" i="91" s="1"/>
  <c r="V34" i="91" a="1"/>
  <c r="V34" i="91" s="1"/>
  <c r="X34" i="91" a="1"/>
  <c r="X34" i="91" s="1"/>
  <c r="U35" i="91" a="1"/>
  <c r="U35" i="91" s="1"/>
  <c r="W34" i="91" a="1"/>
  <c r="W34" i="91" s="1"/>
  <c r="Y35" i="91" a="1"/>
  <c r="Y35" i="91" s="1"/>
  <c r="W26" i="91" a="1"/>
  <c r="W26" i="91" s="1"/>
  <c r="Y27" i="91" a="1"/>
  <c r="Y27" i="91" s="1"/>
  <c r="V26" i="91" a="1"/>
  <c r="V26" i="91" s="1"/>
  <c r="U27" i="91" a="1"/>
  <c r="U27" i="91" s="1"/>
  <c r="X26" i="91" a="1"/>
  <c r="X26" i="91" s="1"/>
  <c r="T14" i="77"/>
  <c r="K45" i="77"/>
  <c r="W41" i="81" a="1"/>
  <c r="W41" i="81" s="1"/>
  <c r="X41" i="81" a="1"/>
  <c r="X41" i="81" s="1"/>
  <c r="Y42" i="81" a="1"/>
  <c r="Y42" i="81" s="1"/>
  <c r="U42" i="81" a="1"/>
  <c r="U42" i="81" s="1"/>
  <c r="V41" i="81" a="1"/>
  <c r="V41" i="81" s="1"/>
  <c r="X34" i="79" a="1"/>
  <c r="X34" i="79" s="1"/>
  <c r="U31" i="77" a="1"/>
  <c r="U31" i="77" s="1"/>
  <c r="X30" i="77" a="1"/>
  <c r="X30" i="77" s="1"/>
  <c r="Y31" i="77" a="1"/>
  <c r="Y31" i="77" s="1"/>
  <c r="V30" i="77" a="1"/>
  <c r="V30" i="77" s="1"/>
  <c r="W30" i="77" a="1"/>
  <c r="W30" i="77" s="1"/>
  <c r="U35" i="77" a="1"/>
  <c r="U35" i="77" s="1"/>
  <c r="V34" i="77" a="1"/>
  <c r="V34" i="77" s="1"/>
  <c r="X34" i="77" a="1"/>
  <c r="X34" i="77" s="1"/>
  <c r="Y35" i="77" a="1"/>
  <c r="Y35" i="77" s="1"/>
  <c r="W34" i="77" a="1"/>
  <c r="W34" i="77" s="1"/>
  <c r="U19" i="77" a="1"/>
  <c r="U19" i="77" s="1"/>
  <c r="V18" i="77" a="1"/>
  <c r="V18" i="77" s="1"/>
  <c r="W18" i="77" a="1"/>
  <c r="W18" i="77" s="1"/>
  <c r="X18" i="77" a="1"/>
  <c r="X18" i="77" s="1"/>
  <c r="Y19" i="77" a="1"/>
  <c r="Y19" i="77" s="1"/>
  <c r="U37" i="77" a="1"/>
  <c r="U37" i="77" s="1"/>
  <c r="V36" i="77" a="1"/>
  <c r="V36" i="77" s="1"/>
  <c r="W36" i="77" a="1"/>
  <c r="W36" i="77" s="1"/>
  <c r="X36" i="77" a="1"/>
  <c r="X36" i="77" s="1"/>
  <c r="Y37" i="77" a="1"/>
  <c r="Y37" i="77" s="1"/>
  <c r="U20" i="81" a="1"/>
  <c r="U20" i="81" s="1"/>
  <c r="X19" i="81" a="1"/>
  <c r="X19" i="81" s="1"/>
  <c r="V19" i="81" a="1"/>
  <c r="V19" i="81" s="1"/>
  <c r="W19" i="81" a="1"/>
  <c r="W19" i="81" s="1"/>
  <c r="Y20" i="81" a="1"/>
  <c r="Y20" i="81" s="1"/>
  <c r="V15" i="81" a="1"/>
  <c r="V15" i="81" s="1"/>
  <c r="X15" i="81" a="1"/>
  <c r="X15" i="81" s="1"/>
  <c r="Y16" i="81" a="1"/>
  <c r="Y16" i="81" s="1"/>
  <c r="U16" i="81" a="1"/>
  <c r="U16" i="81" s="1"/>
  <c r="W15" i="81" a="1"/>
  <c r="W15" i="81" s="1"/>
  <c r="V18" i="81" a="1"/>
  <c r="V18" i="81" s="1"/>
  <c r="X18" i="81" a="1"/>
  <c r="X18" i="81" s="1"/>
  <c r="W18" i="81" a="1"/>
  <c r="W18" i="81" s="1"/>
  <c r="U19" i="81" a="1"/>
  <c r="U19" i="81" s="1"/>
  <c r="Y19" i="81" a="1"/>
  <c r="Y19" i="81" s="1"/>
  <c r="U18" i="81" a="1"/>
  <c r="U18" i="81" s="1"/>
  <c r="V17" i="81" a="1"/>
  <c r="V17" i="81" s="1"/>
  <c r="X17" i="81" a="1"/>
  <c r="X17" i="81" s="1"/>
  <c r="W17" i="81" a="1"/>
  <c r="W17" i="81" s="1"/>
  <c r="Y18" i="81" a="1"/>
  <c r="Y18" i="81" s="1"/>
  <c r="U15" i="87" a="1"/>
  <c r="U15" i="87" s="1"/>
  <c r="Y15" i="87" a="1"/>
  <c r="Y15" i="87" s="1"/>
  <c r="U44" i="76" a="1"/>
  <c r="U44" i="76" s="1"/>
  <c r="W43" i="76" a="1"/>
  <c r="W43" i="76" s="1"/>
  <c r="X43" i="76" a="1"/>
  <c r="X43" i="76" s="1"/>
  <c r="V43" i="76" a="1"/>
  <c r="V43" i="76" s="1"/>
  <c r="Y44" i="76" a="1"/>
  <c r="Y44" i="76" s="1"/>
  <c r="V22" i="76" a="1"/>
  <c r="V22" i="76" s="1"/>
  <c r="X22" i="76" a="1"/>
  <c r="X22" i="76" s="1"/>
  <c r="Y23" i="76" a="1"/>
  <c r="Y23" i="76" s="1"/>
  <c r="W22" i="76" a="1"/>
  <c r="W22" i="76" s="1"/>
  <c r="U23" i="76" a="1"/>
  <c r="U23" i="76" s="1"/>
  <c r="Y19" i="76" a="1"/>
  <c r="Y19" i="76" s="1"/>
  <c r="U19" i="76" a="1"/>
  <c r="U19" i="76" s="1"/>
  <c r="X18" i="76" a="1"/>
  <c r="X18" i="76" s="1"/>
  <c r="W18" i="76" a="1"/>
  <c r="W18" i="76" s="1"/>
  <c r="V18" i="76" a="1"/>
  <c r="V18" i="76" s="1"/>
  <c r="W19" i="75" a="1"/>
  <c r="W19" i="75" s="1"/>
  <c r="W51" i="75" s="1"/>
  <c r="V19" i="75" a="1"/>
  <c r="V19" i="75" s="1"/>
  <c r="U20" i="75" a="1"/>
  <c r="U20" i="75" s="1"/>
  <c r="X19" i="75" a="1"/>
  <c r="X19" i="75" s="1"/>
  <c r="Y20" i="75" a="1"/>
  <c r="Y20" i="75" s="1"/>
  <c r="V19" i="78" a="1"/>
  <c r="V19" i="78" s="1"/>
  <c r="U20" i="78" a="1"/>
  <c r="U20" i="78" s="1"/>
  <c r="W19" i="78" a="1"/>
  <c r="W19" i="78" s="1"/>
  <c r="Y20" i="78" a="1"/>
  <c r="Y20" i="78" s="1"/>
  <c r="X19" i="78" a="1"/>
  <c r="X19" i="78" s="1"/>
  <c r="Y38" i="78" a="1"/>
  <c r="Y38" i="78" s="1"/>
  <c r="W37" i="78" a="1"/>
  <c r="W37" i="78" s="1"/>
  <c r="X37" i="78" a="1"/>
  <c r="X37" i="78" s="1"/>
  <c r="U38" i="78" a="1"/>
  <c r="U38" i="78" s="1"/>
  <c r="V37" i="78" a="1"/>
  <c r="V37" i="78" s="1"/>
  <c r="U28" i="78" a="1"/>
  <c r="U28" i="78" s="1"/>
  <c r="V27" i="78" a="1"/>
  <c r="V27" i="78" s="1"/>
  <c r="X27" i="78" a="1"/>
  <c r="X27" i="78" s="1"/>
  <c r="W27" i="78" a="1"/>
  <c r="W27" i="78" s="1"/>
  <c r="Y28" i="78" a="1"/>
  <c r="Y28" i="78" s="1"/>
  <c r="X18" i="78" a="1"/>
  <c r="X18" i="78" s="1"/>
  <c r="Y19" i="78" a="1"/>
  <c r="Y19" i="78" s="1"/>
  <c r="U19" i="78" a="1"/>
  <c r="U19" i="78" s="1"/>
  <c r="W18" i="78" a="1"/>
  <c r="W18" i="78" s="1"/>
  <c r="V18" i="78" a="1"/>
  <c r="V18" i="78" s="1"/>
  <c r="Y27" i="79" a="1"/>
  <c r="Y27" i="79" s="1"/>
  <c r="W26" i="79" a="1"/>
  <c r="W26" i="79" s="1"/>
  <c r="U27" i="79" a="1"/>
  <c r="U27" i="79" s="1"/>
  <c r="V26" i="79" a="1"/>
  <c r="V26" i="79" s="1"/>
  <c r="X26" i="79" a="1"/>
  <c r="X26" i="79" s="1"/>
  <c r="T14" i="79"/>
  <c r="X24" i="79" a="1"/>
  <c r="X24" i="79" s="1"/>
  <c r="U25" i="79" a="1"/>
  <c r="U25" i="79" s="1"/>
  <c r="W24" i="79" a="1"/>
  <c r="W24" i="79" s="1"/>
  <c r="Y25" i="79" a="1"/>
  <c r="Y25" i="79" s="1"/>
  <c r="V24" i="79" a="1"/>
  <c r="V24" i="79" s="1"/>
  <c r="W15" i="79" a="1"/>
  <c r="W15" i="79" s="1"/>
  <c r="V15" i="79" a="1"/>
  <c r="V15" i="79" s="1"/>
  <c r="X15" i="79" a="1"/>
  <c r="X15" i="79" s="1"/>
  <c r="Y16" i="79" a="1"/>
  <c r="Y16" i="79" s="1"/>
  <c r="U16" i="79" a="1"/>
  <c r="U16" i="79" s="1"/>
  <c r="W19" i="91" a="1"/>
  <c r="W19" i="91" s="1"/>
  <c r="V19" i="91" a="1"/>
  <c r="V19" i="91" s="1"/>
  <c r="Y20" i="91" a="1"/>
  <c r="Y20" i="91" s="1"/>
  <c r="U20" i="91" a="1"/>
  <c r="U20" i="91" s="1"/>
  <c r="X19" i="91" a="1"/>
  <c r="X19" i="91" s="1"/>
  <c r="V38" i="91" a="1"/>
  <c r="V38" i="91" s="1"/>
  <c r="Y39" i="91" a="1"/>
  <c r="Y39" i="91" s="1"/>
  <c r="W38" i="91" a="1"/>
  <c r="W38" i="91" s="1"/>
  <c r="X38" i="91" a="1"/>
  <c r="X38" i="91" s="1"/>
  <c r="U39" i="91" a="1"/>
  <c r="U39" i="91" s="1"/>
  <c r="V25" i="91" a="1"/>
  <c r="V25" i="91" s="1"/>
  <c r="U26" i="91" a="1"/>
  <c r="U26" i="91" s="1"/>
  <c r="X25" i="91" a="1"/>
  <c r="X25" i="91" s="1"/>
  <c r="W25" i="91" a="1"/>
  <c r="W25" i="91" s="1"/>
  <c r="Y26" i="91" a="1"/>
  <c r="Y26" i="91" s="1"/>
  <c r="X21" i="91" a="1"/>
  <c r="X21" i="91" s="1"/>
  <c r="W21" i="91" a="1"/>
  <c r="W21" i="91" s="1"/>
  <c r="V21" i="91" a="1"/>
  <c r="V21" i="91" s="1"/>
  <c r="Y22" i="91" a="1"/>
  <c r="Y22" i="91" s="1"/>
  <c r="U22" i="91" a="1"/>
  <c r="U22" i="91" s="1"/>
  <c r="Y20" i="77" a="1"/>
  <c r="Y20" i="77" s="1"/>
  <c r="U20" i="77" a="1"/>
  <c r="U20" i="77" s="1"/>
  <c r="X19" i="77" a="1"/>
  <c r="X19" i="77" s="1"/>
  <c r="V19" i="77" a="1"/>
  <c r="V19" i="77" s="1"/>
  <c r="W19" i="77" a="1"/>
  <c r="W19" i="77" s="1"/>
  <c r="U16" i="77" a="1"/>
  <c r="U16" i="77" s="1"/>
  <c r="X15" i="77" a="1"/>
  <c r="X15" i="77" s="1"/>
  <c r="Y16" i="77" a="1"/>
  <c r="Y16" i="77" s="1"/>
  <c r="W15" i="77" a="1"/>
  <c r="W15" i="77" s="1"/>
  <c r="V15" i="77" a="1"/>
  <c r="V15" i="77" s="1"/>
  <c r="U27" i="77" a="1"/>
  <c r="U27" i="77" s="1"/>
  <c r="W26" i="77" a="1"/>
  <c r="W26" i="77" s="1"/>
  <c r="X26" i="77" a="1"/>
  <c r="X26" i="77" s="1"/>
  <c r="Y27" i="77" a="1"/>
  <c r="Y27" i="77" s="1"/>
  <c r="V26" i="77" a="1"/>
  <c r="V26" i="77" s="1"/>
  <c r="U29" i="77" a="1"/>
  <c r="U29" i="77" s="1"/>
  <c r="V28" i="77" a="1"/>
  <c r="V28" i="77" s="1"/>
  <c r="Y29" i="77" a="1"/>
  <c r="Y29" i="77" s="1"/>
  <c r="W28" i="77" a="1"/>
  <c r="W28" i="77" s="1"/>
  <c r="X28" i="77" a="1"/>
  <c r="X28" i="77" s="1"/>
  <c r="V32" i="81" a="1"/>
  <c r="V32" i="81" s="1"/>
  <c r="W32" i="81" a="1"/>
  <c r="W32" i="81" s="1"/>
  <c r="U33" i="81" a="1"/>
  <c r="U33" i="81" s="1"/>
  <c r="Y33" i="81" a="1"/>
  <c r="Y33" i="81" s="1"/>
  <c r="X32" i="81" a="1"/>
  <c r="X32" i="81" s="1"/>
  <c r="U28" i="81" a="1"/>
  <c r="U28" i="81" s="1"/>
  <c r="W27" i="81" a="1"/>
  <c r="W27" i="81" s="1"/>
  <c r="Y28" i="81" a="1"/>
  <c r="Y28" i="81" s="1"/>
  <c r="X27" i="81" a="1"/>
  <c r="X27" i="81" s="1"/>
  <c r="V27" i="81" a="1"/>
  <c r="V27" i="81" s="1"/>
  <c r="Y40" i="81" a="1"/>
  <c r="Y40" i="81" s="1"/>
  <c r="W39" i="81" a="1"/>
  <c r="W39" i="81" s="1"/>
  <c r="X39" i="81" a="1"/>
  <c r="X39" i="81" s="1"/>
  <c r="V39" i="81" a="1"/>
  <c r="V39" i="81" s="1"/>
  <c r="U40" i="81" a="1"/>
  <c r="U40" i="81" s="1"/>
  <c r="X37" i="81" a="1"/>
  <c r="X37" i="81" s="1"/>
  <c r="Y38" i="81" a="1"/>
  <c r="Y38" i="81" s="1"/>
  <c r="W37" i="81" a="1"/>
  <c r="W37" i="81" s="1"/>
  <c r="V37" i="81" a="1"/>
  <c r="V37" i="81" s="1"/>
  <c r="U38" i="81" a="1"/>
  <c r="U38" i="81" s="1"/>
  <c r="V51" i="80"/>
  <c r="V52" i="80" s="1"/>
  <c r="V53" i="80"/>
  <c r="X17" i="76" a="1"/>
  <c r="X17" i="76" s="1"/>
  <c r="Y18" i="76" a="1"/>
  <c r="Y18" i="76" s="1"/>
  <c r="V17" i="76" a="1"/>
  <c r="V17" i="76" s="1"/>
  <c r="U18" i="76" a="1"/>
  <c r="U18" i="76" s="1"/>
  <c r="W17" i="76" a="1"/>
  <c r="W17" i="76" s="1"/>
  <c r="U27" i="76" a="1"/>
  <c r="U27" i="76" s="1"/>
  <c r="X26" i="76" a="1"/>
  <c r="X26" i="76" s="1"/>
  <c r="V26" i="76" a="1"/>
  <c r="V26" i="76" s="1"/>
  <c r="W26" i="76" a="1"/>
  <c r="W26" i="76" s="1"/>
  <c r="Y27" i="76" a="1"/>
  <c r="Y27" i="76" s="1"/>
  <c r="V41" i="76" a="1"/>
  <c r="V41" i="76" s="1"/>
  <c r="X41" i="76" a="1"/>
  <c r="X41" i="76" s="1"/>
  <c r="W41" i="76" a="1"/>
  <c r="W41" i="76" s="1"/>
  <c r="Y42" i="76" a="1"/>
  <c r="Y42" i="76" s="1"/>
  <c r="U42" i="76" a="1"/>
  <c r="U42" i="76" s="1"/>
  <c r="U41" i="76" a="1"/>
  <c r="U41" i="76" s="1"/>
  <c r="W40" i="76" a="1"/>
  <c r="W40" i="76" s="1"/>
  <c r="X40" i="76" a="1"/>
  <c r="X40" i="76" s="1"/>
  <c r="Y41" i="76" a="1"/>
  <c r="Y41" i="76" s="1"/>
  <c r="V40" i="76" a="1"/>
  <c r="V40" i="76" s="1"/>
  <c r="W42" i="78" a="1"/>
  <c r="W42" i="78" s="1"/>
  <c r="V42" i="78" a="1"/>
  <c r="V42" i="78" s="1"/>
  <c r="Y43" i="78" a="1"/>
  <c r="Y43" i="78" s="1"/>
  <c r="X42" i="78" a="1"/>
  <c r="X42" i="78" s="1"/>
  <c r="U43" i="78" a="1"/>
  <c r="U43" i="78" s="1"/>
  <c r="Y35" i="78" a="1"/>
  <c r="Y35" i="78" s="1"/>
  <c r="W34" i="78" a="1"/>
  <c r="W34" i="78" s="1"/>
  <c r="U35" i="78" a="1"/>
  <c r="U35" i="78" s="1"/>
  <c r="V34" i="78" a="1"/>
  <c r="V34" i="78" s="1"/>
  <c r="X34" i="78" a="1"/>
  <c r="X34" i="78" s="1"/>
  <c r="W16" i="78" a="1"/>
  <c r="W16" i="78" s="1"/>
  <c r="X16" i="78" a="1"/>
  <c r="X16" i="78" s="1"/>
  <c r="U17" i="78" a="1"/>
  <c r="U17" i="78" s="1"/>
  <c r="Y17" i="78" a="1"/>
  <c r="Y17" i="78" s="1"/>
  <c r="V16" i="78" a="1"/>
  <c r="V16" i="78" s="1"/>
  <c r="X23" i="78" a="1"/>
  <c r="X23" i="78" s="1"/>
  <c r="U24" i="78" a="1"/>
  <c r="U24" i="78" s="1"/>
  <c r="Y24" i="78" a="1"/>
  <c r="Y24" i="78" s="1"/>
  <c r="V23" i="78" a="1"/>
  <c r="V23" i="78" s="1"/>
  <c r="W23" i="78" a="1"/>
  <c r="W23" i="78" s="1"/>
  <c r="W39" i="79" a="1"/>
  <c r="W39" i="79" s="1"/>
  <c r="X39" i="79" a="1"/>
  <c r="X39" i="79" s="1"/>
  <c r="U40" i="79" a="1"/>
  <c r="U40" i="79" s="1"/>
  <c r="Y40" i="79" a="1"/>
  <c r="Y40" i="79" s="1"/>
  <c r="V39" i="79" a="1"/>
  <c r="V39" i="79" s="1"/>
  <c r="U37" i="79" a="1"/>
  <c r="U37" i="79" s="1"/>
  <c r="V36" i="79" a="1"/>
  <c r="V36" i="79" s="1"/>
  <c r="Y37" i="79" a="1"/>
  <c r="Y37" i="79" s="1"/>
  <c r="X36" i="79" a="1"/>
  <c r="X36" i="79" s="1"/>
  <c r="W36" i="79" a="1"/>
  <c r="W36" i="79" s="1"/>
  <c r="X33" i="79" a="1"/>
  <c r="X33" i="79" s="1"/>
  <c r="Y34" i="79" a="1"/>
  <c r="Y34" i="79" s="1"/>
  <c r="V33" i="79" a="1"/>
  <c r="V33" i="79" s="1"/>
  <c r="W33" i="79" a="1"/>
  <c r="W33" i="79" s="1"/>
  <c r="U34" i="79" a="1"/>
  <c r="U34" i="79" s="1"/>
  <c r="X29" i="79" a="1"/>
  <c r="X29" i="79" s="1"/>
  <c r="W29" i="79" a="1"/>
  <c r="W29" i="79" s="1"/>
  <c r="U17" i="86" a="1"/>
  <c r="U17" i="86" s="1"/>
  <c r="V16" i="86" a="1"/>
  <c r="V16" i="86" s="1"/>
  <c r="Y17" i="86" a="1"/>
  <c r="Y17" i="86" s="1"/>
  <c r="X16" i="86" a="1"/>
  <c r="X16" i="86" s="1"/>
  <c r="W16" i="86" a="1"/>
  <c r="W16" i="86" s="1"/>
  <c r="W51" i="86" s="1"/>
  <c r="Y33" i="91" a="1"/>
  <c r="Y33" i="91" s="1"/>
  <c r="W32" i="91" a="1"/>
  <c r="W32" i="91" s="1"/>
  <c r="X32" i="91" a="1"/>
  <c r="X32" i="91" s="1"/>
  <c r="U33" i="91" a="1"/>
  <c r="U33" i="91" s="1"/>
  <c r="V32" i="91" a="1"/>
  <c r="V32" i="91" s="1"/>
  <c r="X24" i="91" a="1"/>
  <c r="X24" i="91" s="1"/>
  <c r="Y25" i="91" a="1"/>
  <c r="Y25" i="91" s="1"/>
  <c r="U25" i="91" a="1"/>
  <c r="U25" i="91" s="1"/>
  <c r="V24" i="91" a="1"/>
  <c r="V24" i="91" s="1"/>
  <c r="W24" i="91" a="1"/>
  <c r="W24" i="91" s="1"/>
  <c r="U40" i="91" a="1"/>
  <c r="U40" i="91" s="1"/>
  <c r="Y40" i="91" a="1"/>
  <c r="Y40" i="91" s="1"/>
  <c r="W39" i="91" a="1"/>
  <c r="W39" i="91" s="1"/>
  <c r="X39" i="91" a="1"/>
  <c r="X39" i="91" s="1"/>
  <c r="V39" i="91" a="1"/>
  <c r="V39" i="91" s="1"/>
  <c r="T14" i="91"/>
  <c r="K42" i="91"/>
  <c r="U39" i="77" a="1"/>
  <c r="U39" i="77" s="1"/>
  <c r="X38" i="77" a="1"/>
  <c r="X38" i="77" s="1"/>
  <c r="Y39" i="77" a="1"/>
  <c r="Y39" i="77" s="1"/>
  <c r="V38" i="77" a="1"/>
  <c r="V38" i="77" s="1"/>
  <c r="W38" i="77" a="1"/>
  <c r="W38" i="77" s="1"/>
  <c r="U30" i="77" a="1"/>
  <c r="U30" i="77" s="1"/>
  <c r="V29" i="77" a="1"/>
  <c r="V29" i="77" s="1"/>
  <c r="X29" i="77" a="1"/>
  <c r="X29" i="77" s="1"/>
  <c r="W29" i="77" a="1"/>
  <c r="W29" i="77" s="1"/>
  <c r="Y30" i="77" a="1"/>
  <c r="Y30" i="77" s="1"/>
  <c r="U23" i="77" a="1"/>
  <c r="U23" i="77" s="1"/>
  <c r="X22" i="77" a="1"/>
  <c r="X22" i="77" s="1"/>
  <c r="W22" i="77" a="1"/>
  <c r="W22" i="77" s="1"/>
  <c r="V22" i="77" a="1"/>
  <c r="V22" i="77" s="1"/>
  <c r="Y23" i="77" a="1"/>
  <c r="Y23" i="77" s="1"/>
  <c r="U21" i="77" a="1"/>
  <c r="U21" i="77" s="1"/>
  <c r="Y21" i="77" a="1"/>
  <c r="Y21" i="77" s="1"/>
  <c r="V20" i="77" a="1"/>
  <c r="V20" i="77" s="1"/>
  <c r="X20" i="77" a="1"/>
  <c r="X20" i="77" s="1"/>
  <c r="W20" i="77" a="1"/>
  <c r="W20" i="77" s="1"/>
  <c r="U19" i="82" a="1"/>
  <c r="U19" i="82" s="1"/>
  <c r="W18" i="82" a="1"/>
  <c r="W18" i="82" s="1"/>
  <c r="V18" i="82" a="1"/>
  <c r="V18" i="82" s="1"/>
  <c r="X18" i="82" a="1"/>
  <c r="X18" i="82" s="1"/>
  <c r="Y19" i="82" a="1"/>
  <c r="Y19" i="82" s="1"/>
  <c r="V23" i="81" a="1"/>
  <c r="V23" i="81" s="1"/>
  <c r="X23" i="81" a="1"/>
  <c r="X23" i="81" s="1"/>
  <c r="Y24" i="81" a="1"/>
  <c r="Y24" i="81" s="1"/>
  <c r="W23" i="81" a="1"/>
  <c r="W23" i="81" s="1"/>
  <c r="U24" i="81" a="1"/>
  <c r="U24" i="81" s="1"/>
  <c r="Y21" i="81" a="1"/>
  <c r="Y21" i="81" s="1"/>
  <c r="X20" i="81" a="1"/>
  <c r="X20" i="81" s="1"/>
  <c r="U21" i="81" a="1"/>
  <c r="U21" i="81" s="1"/>
  <c r="V20" i="81" a="1"/>
  <c r="V20" i="81" s="1"/>
  <c r="W20" i="81" a="1"/>
  <c r="W20" i="81" s="1"/>
  <c r="X44" i="81" a="1"/>
  <c r="X44" i="81" s="1"/>
  <c r="W44" i="81" a="1"/>
  <c r="W44" i="81" s="1"/>
  <c r="V44" i="81" a="1"/>
  <c r="V44" i="81" s="1"/>
  <c r="V16" i="76" a="1"/>
  <c r="V16" i="76" s="1"/>
  <c r="W16" i="76" a="1"/>
  <c r="W16" i="76" s="1"/>
  <c r="Y17" i="76" a="1"/>
  <c r="Y17" i="76" s="1"/>
  <c r="X16" i="76" a="1"/>
  <c r="X16" i="76" s="1"/>
  <c r="U17" i="76" a="1"/>
  <c r="U17" i="76" s="1"/>
  <c r="V39" i="76" a="1"/>
  <c r="V39" i="76" s="1"/>
  <c r="W39" i="76" a="1"/>
  <c r="W39" i="76" s="1"/>
  <c r="Y40" i="76" a="1"/>
  <c r="Y40" i="76" s="1"/>
  <c r="X39" i="76" a="1"/>
  <c r="X39" i="76" s="1"/>
  <c r="U40" i="76" a="1"/>
  <c r="U40" i="76" s="1"/>
  <c r="U38" i="76" a="1"/>
  <c r="U38" i="76" s="1"/>
  <c r="X37" i="76" a="1"/>
  <c r="X37" i="76" s="1"/>
  <c r="Y38" i="76" a="1"/>
  <c r="Y38" i="76" s="1"/>
  <c r="V37" i="76" a="1"/>
  <c r="V37" i="76" s="1"/>
  <c r="W37" i="76" a="1"/>
  <c r="W37" i="76" s="1"/>
  <c r="W36" i="76" a="1"/>
  <c r="W36" i="76" s="1"/>
  <c r="X36" i="76" a="1"/>
  <c r="X36" i="76" s="1"/>
  <c r="Y37" i="76" a="1"/>
  <c r="Y37" i="76" s="1"/>
  <c r="V36" i="76" a="1"/>
  <c r="V36" i="76" s="1"/>
  <c r="U37" i="76" a="1"/>
  <c r="U37" i="76" s="1"/>
  <c r="U18" i="78" a="1"/>
  <c r="U18" i="78" s="1"/>
  <c r="W17" i="78" a="1"/>
  <c r="W17" i="78" s="1"/>
  <c r="X17" i="78" a="1"/>
  <c r="X17" i="78" s="1"/>
  <c r="Y18" i="78" a="1"/>
  <c r="Y18" i="78" s="1"/>
  <c r="V17" i="78" a="1"/>
  <c r="V17" i="78" s="1"/>
  <c r="V31" i="78" a="1"/>
  <c r="V31" i="78" s="1"/>
  <c r="Y32" i="78" a="1"/>
  <c r="Y32" i="78" s="1"/>
  <c r="X31" i="78" a="1"/>
  <c r="X31" i="78" s="1"/>
  <c r="U32" i="78" a="1"/>
  <c r="U32" i="78" s="1"/>
  <c r="W31" i="78" a="1"/>
  <c r="W31" i="78" s="1"/>
  <c r="V39" i="78" a="1"/>
  <c r="V39" i="78" s="1"/>
  <c r="U40" i="78" a="1"/>
  <c r="U40" i="78" s="1"/>
  <c r="W39" i="78" a="1"/>
  <c r="W39" i="78" s="1"/>
  <c r="X39" i="78" a="1"/>
  <c r="X39" i="78" s="1"/>
  <c r="Y40" i="78" a="1"/>
  <c r="Y40" i="78" s="1"/>
  <c r="X26" i="78" a="1"/>
  <c r="X26" i="78" s="1"/>
  <c r="U27" i="78" a="1"/>
  <c r="U27" i="78" s="1"/>
  <c r="W26" i="78" a="1"/>
  <c r="W26" i="78" s="1"/>
  <c r="Y27" i="78" a="1"/>
  <c r="Y27" i="78" s="1"/>
  <c r="V26" i="78" a="1"/>
  <c r="V26" i="78" s="1"/>
  <c r="U44" i="79" a="1"/>
  <c r="U44" i="79" s="1"/>
  <c r="Y44" i="79" a="1"/>
  <c r="Y44" i="79" s="1"/>
  <c r="W43" i="79" a="1"/>
  <c r="W43" i="79" s="1"/>
  <c r="X43" i="79" a="1"/>
  <c r="X43" i="79" s="1"/>
  <c r="V43" i="79" a="1"/>
  <c r="V43" i="79" s="1"/>
  <c r="V25" i="79" a="1"/>
  <c r="V25" i="79" s="1"/>
  <c r="W25" i="79" a="1"/>
  <c r="W25" i="79" s="1"/>
  <c r="U43" i="79" a="1"/>
  <c r="U43" i="79" s="1"/>
  <c r="W42" i="79" a="1"/>
  <c r="W42" i="79" s="1"/>
  <c r="V42" i="79" a="1"/>
  <c r="V42" i="79" s="1"/>
  <c r="X42" i="79" a="1"/>
  <c r="X42" i="79" s="1"/>
  <c r="Y38" i="91" a="1"/>
  <c r="Y38" i="91" s="1"/>
  <c r="X37" i="91" a="1"/>
  <c r="X37" i="91" s="1"/>
  <c r="W37" i="91" a="1"/>
  <c r="W37" i="91" s="1"/>
  <c r="V37" i="91" a="1"/>
  <c r="V37" i="91" s="1"/>
  <c r="U38" i="91" a="1"/>
  <c r="U38" i="91" s="1"/>
  <c r="W35" i="91" a="1"/>
  <c r="W35" i="91" s="1"/>
  <c r="V35" i="91" a="1"/>
  <c r="V35" i="91" s="1"/>
  <c r="X35" i="91" a="1"/>
  <c r="X35" i="91" s="1"/>
  <c r="U36" i="91" a="1"/>
  <c r="U36" i="91" s="1"/>
  <c r="Y36" i="91" a="1"/>
  <c r="Y36" i="91" s="1"/>
  <c r="W16" i="91" a="1"/>
  <c r="W16" i="91" s="1"/>
  <c r="U17" i="91" a="1"/>
  <c r="U17" i="91" s="1"/>
  <c r="Y17" i="91" a="1"/>
  <c r="Y17" i="91" s="1"/>
  <c r="X16" i="91" a="1"/>
  <c r="X16" i="91" s="1"/>
  <c r="V16" i="91" a="1"/>
  <c r="V16" i="91" s="1"/>
  <c r="X28" i="91" a="1"/>
  <c r="X28" i="91" s="1"/>
  <c r="Y29" i="91" a="1"/>
  <c r="Y29" i="91" s="1"/>
  <c r="U29" i="91" a="1"/>
  <c r="U29" i="91" s="1"/>
  <c r="W28" i="91" a="1"/>
  <c r="W28" i="91" s="1"/>
  <c r="V28" i="91" a="1"/>
  <c r="V28" i="91" s="1"/>
  <c r="K56" i="73"/>
  <c r="D35" i="16"/>
  <c r="D42" i="16" s="1"/>
  <c r="D66" i="16" s="1"/>
  <c r="Y30" i="79" l="1" a="1"/>
  <c r="Y30" i="79" s="1"/>
  <c r="K45" i="79"/>
  <c r="X19" i="79" a="1"/>
  <c r="X19" i="79" s="1"/>
  <c r="U17" i="79" a="1"/>
  <c r="U17" i="79" s="1"/>
  <c r="W20" i="79" a="1"/>
  <c r="W20" i="79" s="1"/>
  <c r="V31" i="79" a="1"/>
  <c r="V31" i="79" s="1"/>
  <c r="U51" i="84"/>
  <c r="L67" i="84" s="1"/>
  <c r="Y26" i="79" a="1"/>
  <c r="Y26" i="79" s="1"/>
  <c r="Y20" i="79" a="1"/>
  <c r="Y20" i="79" s="1"/>
  <c r="Y17" i="79" a="1"/>
  <c r="Y17" i="79" s="1"/>
  <c r="Y21" i="79" a="1"/>
  <c r="Y21" i="79" s="1"/>
  <c r="U32" i="79" a="1"/>
  <c r="U32" i="79" s="1"/>
  <c r="V16" i="79" a="1"/>
  <c r="V16" i="79" s="1"/>
  <c r="X20" i="79" a="1"/>
  <c r="X20" i="79" s="1"/>
  <c r="U26" i="79" a="1"/>
  <c r="U26" i="79" s="1"/>
  <c r="V19" i="79" a="1"/>
  <c r="V19" i="79" s="1"/>
  <c r="V53" i="79" s="1"/>
  <c r="V20" i="79" a="1"/>
  <c r="V20" i="79" s="1"/>
  <c r="W34" i="79" a="1"/>
  <c r="W34" i="79" s="1"/>
  <c r="Y35" i="79" a="1"/>
  <c r="Y35" i="79" s="1"/>
  <c r="V29" i="79" a="1"/>
  <c r="V29" i="79" s="1"/>
  <c r="V34" i="79" a="1"/>
  <c r="V34" i="79" s="1"/>
  <c r="V53" i="83"/>
  <c r="W51" i="87"/>
  <c r="V53" i="87"/>
  <c r="Y53" i="87"/>
  <c r="V53" i="92"/>
  <c r="K53" i="84"/>
  <c r="L53" i="84" s="1"/>
  <c r="X53" i="73"/>
  <c r="X53" i="83"/>
  <c r="V51" i="83"/>
  <c r="V52" i="83" s="1"/>
  <c r="V51" i="92"/>
  <c r="V52" i="92" s="1"/>
  <c r="W51" i="92"/>
  <c r="X53" i="86"/>
  <c r="V51" i="87"/>
  <c r="V52" i="87" s="1"/>
  <c r="X53" i="92"/>
  <c r="Y53" i="86"/>
  <c r="Y15" i="92" a="1"/>
  <c r="Y15" i="92" s="1"/>
  <c r="Y53" i="92" s="1"/>
  <c r="U15" i="92" a="1"/>
  <c r="U15" i="92" s="1"/>
  <c r="Y53" i="82"/>
  <c r="Y53" i="75"/>
  <c r="Y53" i="83"/>
  <c r="X53" i="82"/>
  <c r="X53" i="75"/>
  <c r="W51" i="82"/>
  <c r="W51" i="81"/>
  <c r="W51" i="76"/>
  <c r="X53" i="78"/>
  <c r="W51" i="91"/>
  <c r="Y15" i="81" a="1"/>
  <c r="Y15" i="81" s="1"/>
  <c r="Y53" i="81" s="1"/>
  <c r="U15" i="81" a="1"/>
  <c r="U15" i="81" s="1"/>
  <c r="U51" i="83"/>
  <c r="U53" i="83"/>
  <c r="V51" i="82"/>
  <c r="V52" i="82" s="1"/>
  <c r="V53" i="82"/>
  <c r="U53" i="75"/>
  <c r="U51" i="75"/>
  <c r="U15" i="77" a="1"/>
  <c r="U15" i="77" s="1"/>
  <c r="Y15" i="77" a="1"/>
  <c r="Y15" i="77" s="1"/>
  <c r="Y53" i="77" s="1"/>
  <c r="X53" i="76"/>
  <c r="V51" i="75"/>
  <c r="V52" i="75" s="1"/>
  <c r="V53" i="75"/>
  <c r="U53" i="80"/>
  <c r="K53" i="80" s="1"/>
  <c r="L53" i="80" s="1"/>
  <c r="U51" i="80"/>
  <c r="U15" i="91" a="1"/>
  <c r="U15" i="91" s="1"/>
  <c r="Y15" i="91" a="1"/>
  <c r="Y15" i="91" s="1"/>
  <c r="Y53" i="91" s="1"/>
  <c r="V53" i="81"/>
  <c r="V51" i="81"/>
  <c r="V52" i="81" s="1"/>
  <c r="Y15" i="76" a="1"/>
  <c r="Y15" i="76" s="1"/>
  <c r="Y53" i="76" s="1"/>
  <c r="U15" i="76" a="1"/>
  <c r="U15" i="76" s="1"/>
  <c r="V51" i="73"/>
  <c r="V52" i="73" s="1"/>
  <c r="V53" i="73"/>
  <c r="Y15" i="78" a="1"/>
  <c r="Y15" i="78" s="1"/>
  <c r="Y53" i="78" s="1"/>
  <c r="U15" i="78" a="1"/>
  <c r="U15" i="78" s="1"/>
  <c r="X53" i="79"/>
  <c r="W51" i="77"/>
  <c r="U51" i="87"/>
  <c r="U53" i="87"/>
  <c r="V53" i="76"/>
  <c r="V51" i="76"/>
  <c r="V52" i="76" s="1"/>
  <c r="W51" i="78"/>
  <c r="X53" i="91"/>
  <c r="X53" i="81"/>
  <c r="V53" i="77"/>
  <c r="V51" i="77"/>
  <c r="V52" i="77" s="1"/>
  <c r="U15" i="79" a="1"/>
  <c r="U15" i="79" s="1"/>
  <c r="Y15" i="79" a="1"/>
  <c r="Y15" i="79" s="1"/>
  <c r="V51" i="86"/>
  <c r="V52" i="86" s="1"/>
  <c r="V53" i="86"/>
  <c r="W51" i="79"/>
  <c r="U51" i="73"/>
  <c r="U53" i="73"/>
  <c r="U51" i="82"/>
  <c r="U53" i="82"/>
  <c r="U53" i="86"/>
  <c r="K53" i="86" s="1"/>
  <c r="L53" i="86" s="1"/>
  <c r="U51" i="86"/>
  <c r="X53" i="77"/>
  <c r="V51" i="78"/>
  <c r="V52" i="78" s="1"/>
  <c r="V53" i="78"/>
  <c r="V51" i="91"/>
  <c r="V52" i="91" s="1"/>
  <c r="V53" i="91"/>
  <c r="L56" i="73"/>
  <c r="P63" i="73"/>
  <c r="V51" i="79" l="1"/>
  <c r="V52" i="79" s="1"/>
  <c r="U52" i="84"/>
  <c r="L66" i="84" s="1"/>
  <c r="Y53" i="79"/>
  <c r="K53" i="82"/>
  <c r="L53" i="82" s="1"/>
  <c r="K53" i="87"/>
  <c r="L53" i="87" s="1"/>
  <c r="U51" i="92"/>
  <c r="U53" i="92"/>
  <c r="K53" i="92" s="1"/>
  <c r="L53" i="92" s="1"/>
  <c r="K53" i="83"/>
  <c r="L53" i="83" s="1"/>
  <c r="L67" i="83"/>
  <c r="U52" i="83"/>
  <c r="L66" i="83" s="1"/>
  <c r="U52" i="82"/>
  <c r="L66" i="82" s="1"/>
  <c r="L67" i="82"/>
  <c r="L67" i="87"/>
  <c r="U52" i="87"/>
  <c r="L66" i="87" s="1"/>
  <c r="L69" i="84"/>
  <c r="K55" i="84"/>
  <c r="L55" i="84" s="1"/>
  <c r="U53" i="81"/>
  <c r="K53" i="81" s="1"/>
  <c r="L53" i="81" s="1"/>
  <c r="U51" i="81"/>
  <c r="L68" i="84"/>
  <c r="K54" i="84"/>
  <c r="L54" i="84" s="1"/>
  <c r="K53" i="73"/>
  <c r="L53" i="73" s="1"/>
  <c r="U53" i="78"/>
  <c r="K53" i="78" s="1"/>
  <c r="L53" i="78" s="1"/>
  <c r="U51" i="78"/>
  <c r="U51" i="77"/>
  <c r="U53" i="77"/>
  <c r="K53" i="77" s="1"/>
  <c r="L53" i="77" s="1"/>
  <c r="U52" i="73"/>
  <c r="L66" i="73" s="1"/>
  <c r="L67" i="73"/>
  <c r="U53" i="91"/>
  <c r="K53" i="91" s="1"/>
  <c r="L53" i="91" s="1"/>
  <c r="U51" i="91"/>
  <c r="U52" i="75"/>
  <c r="L66" i="75" s="1"/>
  <c r="L67" i="75"/>
  <c r="U52" i="80"/>
  <c r="L66" i="80" s="1"/>
  <c r="L67" i="80"/>
  <c r="K53" i="75"/>
  <c r="L53" i="75" s="1"/>
  <c r="U53" i="79"/>
  <c r="K53" i="79" s="1"/>
  <c r="L53" i="79" s="1"/>
  <c r="U51" i="79"/>
  <c r="U52" i="86"/>
  <c r="L66" i="86" s="1"/>
  <c r="L67" i="86"/>
  <c r="U51" i="76"/>
  <c r="U53" i="76"/>
  <c r="K53" i="76" s="1"/>
  <c r="L53" i="76" s="1"/>
  <c r="K56" i="76"/>
  <c r="U52" i="92" l="1"/>
  <c r="L66" i="92" s="1"/>
  <c r="L67" i="92"/>
  <c r="L67" i="79"/>
  <c r="U52" i="79"/>
  <c r="L66" i="79" s="1"/>
  <c r="U52" i="77"/>
  <c r="L66" i="77" s="1"/>
  <c r="L67" i="77"/>
  <c r="K54" i="87"/>
  <c r="L54" i="87" s="1"/>
  <c r="L68" i="87"/>
  <c r="L69" i="73"/>
  <c r="K55" i="73"/>
  <c r="L55" i="73" s="1"/>
  <c r="L69" i="87"/>
  <c r="K55" i="87"/>
  <c r="L55" i="87" s="1"/>
  <c r="U52" i="78"/>
  <c r="L66" i="78" s="1"/>
  <c r="L67" i="78"/>
  <c r="L67" i="76"/>
  <c r="U52" i="76"/>
  <c r="L66" i="76" s="1"/>
  <c r="L69" i="80"/>
  <c r="K55" i="80"/>
  <c r="L55" i="80" s="1"/>
  <c r="L68" i="73"/>
  <c r="K54" i="73"/>
  <c r="L54" i="73" s="1"/>
  <c r="L69" i="82"/>
  <c r="K55" i="82"/>
  <c r="L55" i="82" s="1"/>
  <c r="U52" i="91"/>
  <c r="L66" i="91" s="1"/>
  <c r="L67" i="91"/>
  <c r="K54" i="80"/>
  <c r="L54" i="80" s="1"/>
  <c r="L68" i="80"/>
  <c r="K54" i="82"/>
  <c r="L54" i="82" s="1"/>
  <c r="L68" i="82"/>
  <c r="U52" i="81"/>
  <c r="L66" i="81" s="1"/>
  <c r="L67" i="81"/>
  <c r="L68" i="83"/>
  <c r="K54" i="83"/>
  <c r="L54" i="83" s="1"/>
  <c r="L68" i="86"/>
  <c r="K54" i="86"/>
  <c r="L54" i="86" s="1"/>
  <c r="L68" i="75"/>
  <c r="K54" i="75"/>
  <c r="L54" i="75" s="1"/>
  <c r="L69" i="86"/>
  <c r="K55" i="86"/>
  <c r="L55" i="86" s="1"/>
  <c r="L69" i="75"/>
  <c r="K55" i="75"/>
  <c r="L55" i="75" s="1"/>
  <c r="L69" i="83"/>
  <c r="K55" i="83"/>
  <c r="L55" i="83" s="1"/>
  <c r="L56" i="76"/>
  <c r="P63" i="76"/>
  <c r="K56" i="75" s="1"/>
  <c r="L56" i="75" s="1"/>
  <c r="L69" i="92" l="1"/>
  <c r="K55" i="92"/>
  <c r="L55" i="92" s="1"/>
  <c r="K54" i="92"/>
  <c r="L54" i="92" s="1"/>
  <c r="L68" i="92"/>
  <c r="L68" i="76"/>
  <c r="K54" i="76"/>
  <c r="L54" i="76" s="1"/>
  <c r="L69" i="81"/>
  <c r="K55" i="81"/>
  <c r="L55" i="81" s="1"/>
  <c r="L69" i="76"/>
  <c r="K55" i="76"/>
  <c r="L55" i="76" s="1"/>
  <c r="L68" i="81"/>
  <c r="K54" i="81"/>
  <c r="L54" i="81" s="1"/>
  <c r="K55" i="77"/>
  <c r="L55" i="77" s="1"/>
  <c r="L69" i="77"/>
  <c r="L68" i="78"/>
  <c r="K54" i="78"/>
  <c r="L54" i="78" s="1"/>
  <c r="L68" i="77"/>
  <c r="K54" i="77"/>
  <c r="L54" i="77" s="1"/>
  <c r="L68" i="91"/>
  <c r="K54" i="91"/>
  <c r="L54" i="91" s="1"/>
  <c r="L59" i="73"/>
  <c r="Q8" i="73" s="1"/>
  <c r="K54" i="79"/>
  <c r="L54" i="79" s="1"/>
  <c r="L68" i="79"/>
  <c r="L69" i="91"/>
  <c r="K55" i="91"/>
  <c r="L55" i="91" s="1"/>
  <c r="K55" i="78"/>
  <c r="L55" i="78" s="1"/>
  <c r="L69" i="78"/>
  <c r="L59" i="86"/>
  <c r="Q8" i="86" s="1"/>
  <c r="L69" i="79"/>
  <c r="K55" i="79"/>
  <c r="L55" i="79" s="1"/>
  <c r="P63" i="75"/>
  <c r="K56" i="77" s="1"/>
  <c r="L56" i="77" s="1"/>
  <c r="L59" i="75"/>
  <c r="Q8" i="75" s="1"/>
  <c r="L59" i="77" l="1"/>
  <c r="Q8" i="77" s="1"/>
  <c r="L59" i="76"/>
  <c r="Q8" i="76" s="1"/>
  <c r="P63" i="77"/>
  <c r="K56" i="82" s="1"/>
  <c r="L56" i="82" s="1"/>
  <c r="L59" i="82" s="1"/>
  <c r="Q8" i="82" s="1"/>
  <c r="P63" i="82" l="1"/>
  <c r="K56" i="78" s="1"/>
  <c r="L56" i="78" s="1"/>
  <c r="L59" i="78" s="1"/>
  <c r="Q8" i="78" s="1"/>
  <c r="P63" i="78" l="1"/>
  <c r="K56" i="79" s="1"/>
  <c r="L56" i="79" s="1"/>
  <c r="P63" i="79" l="1"/>
  <c r="K56" i="83" s="1"/>
  <c r="L56" i="83" s="1"/>
  <c r="L59" i="83" s="1"/>
  <c r="L59" i="79"/>
  <c r="Q8" i="79" s="1"/>
  <c r="Q8" i="83" l="1"/>
  <c r="P63" i="83"/>
  <c r="K56" i="80" s="1"/>
  <c r="L56" i="80" s="1"/>
  <c r="P63" i="80" l="1"/>
  <c r="K56" i="84" s="1"/>
  <c r="L56" i="84" s="1"/>
  <c r="L59" i="84" s="1"/>
  <c r="Q8" i="84" s="1"/>
  <c r="L59" i="80"/>
  <c r="Q8" i="80" s="1"/>
  <c r="P63" i="84" l="1"/>
  <c r="K56" i="81" s="1"/>
  <c r="L56" i="81" s="1"/>
  <c r="L59" i="81" s="1"/>
  <c r="P63" i="81" l="1"/>
  <c r="K56" i="87" s="1"/>
  <c r="L56" i="87" s="1"/>
  <c r="L59" i="87" s="1"/>
  <c r="Q8" i="87" s="1"/>
  <c r="Q8" i="81"/>
  <c r="N75" i="81" s="1"/>
  <c r="P63" i="87" l="1"/>
  <c r="K56" i="91" l="1"/>
  <c r="P63" i="91" s="1"/>
  <c r="K56" i="92" s="1"/>
  <c r="L56" i="92" s="1"/>
  <c r="L59" i="92" s="1"/>
  <c r="Q8" i="92" s="1"/>
  <c r="L56" i="91" l="1"/>
  <c r="L59" i="91" s="1"/>
  <c r="Q8" i="91" s="1"/>
  <c r="P63" i="9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0000000-0006-0000-0300-00000100000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332E5FB5-78DF-460C-B38E-46D046A1E527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D1BBF448-E931-4571-AB3B-CD92BB835D21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BB70B882-E563-4B81-9892-5D24580BF7E5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66D73F10-AE55-4F89-81F7-182994BDC28D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D7F91D4B-A0C2-4CFE-A9A9-F2DBCACE39E8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B2870F05-8B09-43CD-9F5C-3CEDE8C13C1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0000000-0006-0000-0400-00000100000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59603C02-03AF-44F6-BAE9-4A2339AC1BE9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0000000-0006-0000-0600-00000100000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7018BDE5-842D-4CB6-97BA-64450AD65DF1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B07218E-1EEB-4900-BC3B-46B0B320E508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CD345A95-E28A-4999-B5EE-F2F44ACE032F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BB47245-9F75-4EE3-B246-9FDE6BC67ABF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E89D69B3-A089-44AC-9923-9519EF71188A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sharedStrings.xml><?xml version="1.0" encoding="utf-8"?>
<sst xmlns="http://schemas.openxmlformats.org/spreadsheetml/2006/main" count="2761" uniqueCount="453">
  <si>
    <t>Jahr:</t>
  </si>
  <si>
    <t>Funktion: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</si>
  <si>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</si>
  <si>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</si>
  <si>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</si>
  <si>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</si>
  <si>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</si>
  <si>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</si>
  <si>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</si>
  <si>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</si>
  <si>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</si>
  <si>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</si>
  <si>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</si>
  <si>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Überstunden</t>
  </si>
  <si>
    <t>Beginn</t>
  </si>
  <si>
    <t>Ende</t>
  </si>
  <si>
    <t>TD</t>
  </si>
  <si>
    <t>ND</t>
  </si>
  <si>
    <t>U</t>
  </si>
  <si>
    <t>n.b.</t>
  </si>
  <si>
    <t>Urlaub</t>
  </si>
  <si>
    <t>ZA</t>
  </si>
  <si>
    <t>K</t>
  </si>
  <si>
    <t>SU</t>
  </si>
  <si>
    <t>Sonderurlaub</t>
  </si>
  <si>
    <t>Jahr</t>
  </si>
  <si>
    <t>Monat</t>
  </si>
  <si>
    <t>Funktion</t>
  </si>
  <si>
    <t>Feiertage</t>
  </si>
  <si>
    <t>Neujahr</t>
  </si>
  <si>
    <t>Heilige Dreikönige</t>
  </si>
  <si>
    <t>Ostersonntag</t>
  </si>
  <si>
    <t>Ostermontag</t>
  </si>
  <si>
    <t>Staatsfeiertag</t>
  </si>
  <si>
    <t>Christi Himmelfahrt</t>
  </si>
  <si>
    <t>Pfingstmontag</t>
  </si>
  <si>
    <t>Fronleichnam</t>
  </si>
  <si>
    <t>Maria Himmelfahrt</t>
  </si>
  <si>
    <t>Nationalfeiertag</t>
  </si>
  <si>
    <t>Allerheiligen</t>
  </si>
  <si>
    <t>Christtag</t>
  </si>
  <si>
    <t>Stefanitag</t>
  </si>
  <si>
    <t>Maria Empfängnis</t>
  </si>
  <si>
    <t>Durchrechnung/Monat (h/Woche)</t>
  </si>
  <si>
    <t>Tage des Monats</t>
  </si>
  <si>
    <r>
      <rPr>
        <b/>
        <sz val="18"/>
        <rFont val="Calibri"/>
        <family val="2"/>
      </rPr>
      <t>Überstunden- und Außendienstbogen</t>
    </r>
  </si>
  <si>
    <r>
      <t xml:space="preserve">Name:                                                         </t>
    </r>
    <r>
      <rPr>
        <b/>
        <sz val="12"/>
        <rFont val="Calibri"/>
        <family val="2"/>
      </rPr>
      <t/>
    </r>
  </si>
  <si>
    <t xml:space="preserve">Pers.Nr.: </t>
  </si>
  <si>
    <t>Einreihung:</t>
  </si>
  <si>
    <t>Monat:</t>
  </si>
  <si>
    <t>Überstunden auszahlen (Finanzielle Abgeltung)</t>
  </si>
  <si>
    <r>
      <rPr>
        <b/>
        <sz val="12"/>
        <rFont val="Calibri"/>
        <family val="2"/>
      </rPr>
      <t>Ort und Gegenstand der Dienstleistung</t>
    </r>
  </si>
  <si>
    <r>
      <rPr>
        <b/>
        <sz val="12"/>
        <rFont val="Calibri"/>
        <family val="2"/>
      </rPr>
      <t>Tag</t>
    </r>
  </si>
  <si>
    <r>
      <rPr>
        <b/>
        <sz val="12"/>
        <rFont val="Calibri"/>
        <family val="2"/>
      </rPr>
      <t>Ende</t>
    </r>
  </si>
  <si>
    <r>
      <rPr>
        <b/>
        <sz val="12"/>
        <rFont val="Calibri"/>
        <family val="2"/>
      </rPr>
      <t>Dauer</t>
    </r>
  </si>
  <si>
    <t>Summe:</t>
  </si>
  <si>
    <t xml:space="preserve">Übertrag:  </t>
  </si>
  <si>
    <t>Überstunden für Zeitausgleich vormerken</t>
  </si>
  <si>
    <t>Monat - Datumsformat</t>
  </si>
  <si>
    <t>Monat - Textformat</t>
  </si>
  <si>
    <t>Personalnummer:</t>
  </si>
  <si>
    <t>Unterschrift des Dienststellenleiters:</t>
  </si>
  <si>
    <t>A3</t>
  </si>
  <si>
    <t xml:space="preserve"> Wien, am</t>
  </si>
  <si>
    <t>Wien, am</t>
  </si>
  <si>
    <t>DB</t>
  </si>
  <si>
    <t>Tagdienst 5h</t>
  </si>
  <si>
    <t>Tagdienst 8h</t>
  </si>
  <si>
    <t>Tagdienst 10h (Doppelblock)</t>
  </si>
  <si>
    <t>PK</t>
  </si>
  <si>
    <t>Verlängerter Dienst (Nachtdienst)</t>
  </si>
  <si>
    <t>TD8</t>
  </si>
  <si>
    <t>Werktage</t>
  </si>
  <si>
    <t>Wochenendtage</t>
  </si>
  <si>
    <t>Soll-Arbeitszeit</t>
  </si>
  <si>
    <t xml:space="preserve">Zugrunde liegt die gesetzliche Regelung (KA-AZG), wonach Urlaube, Sonderurlaube, Pflegekarenz und Krankenstände (wenn noch keine Diensteinteilung erfolgt ist) gleich zu behandeln sind. </t>
  </si>
  <si>
    <t>Krankenstand ohne erfolgte Diensteinteilung</t>
  </si>
  <si>
    <t>Gehaltsansätze</t>
  </si>
  <si>
    <t>ÜST Tag</t>
  </si>
  <si>
    <t>IST Arbeitszeit h</t>
  </si>
  <si>
    <t>SOLL Arbeitszeit h</t>
  </si>
  <si>
    <t>h &gt; Sollzeit</t>
  </si>
  <si>
    <t>Grundgehalt</t>
  </si>
  <si>
    <t>TD9</t>
  </si>
  <si>
    <t>Tagdienst 9h</t>
  </si>
  <si>
    <t>TD7</t>
  </si>
  <si>
    <t>Tagdienst 7h</t>
  </si>
  <si>
    <t>TD6</t>
  </si>
  <si>
    <t>Tagdienst 6h</t>
  </si>
  <si>
    <t>Jänner</t>
  </si>
  <si>
    <t>Gehaltsstufe</t>
  </si>
  <si>
    <t>Dienste Sa (FA 9h)</t>
  </si>
  <si>
    <t>Dienste So (FA 16h)</t>
  </si>
  <si>
    <t>Dienste Ft (FA 16h)</t>
  </si>
  <si>
    <t>Dienste So vor Feiertag (FA +9h)</t>
  </si>
  <si>
    <t>Dienste Ft vor Ft (FA +9h)</t>
  </si>
  <si>
    <t>Dienste Ft vor So (FA +9h)</t>
  </si>
  <si>
    <t>Überstunden Tag €</t>
  </si>
  <si>
    <t>Überstunden Nacht €</t>
  </si>
  <si>
    <t>Überstunden &gt; Soll AZ (Wochentag/Samstag) €</t>
  </si>
  <si>
    <t>Überstunden &gt; Soll AZ (Sonntag/Feiertag) €</t>
  </si>
  <si>
    <t>Überstunden Nacht (22-6Uhr) Anzahl</t>
  </si>
  <si>
    <t>Stunden &gt; Sollzeit (Nacht/Sonntag/Feiertag)</t>
  </si>
  <si>
    <t>WT</t>
  </si>
  <si>
    <t>06.00 - 09.00</t>
  </si>
  <si>
    <t>08.00 - 22.00</t>
  </si>
  <si>
    <t>22.00 - 06.00</t>
  </si>
  <si>
    <t>h &gt; Sollarbeitszeit</t>
  </si>
  <si>
    <t>ÜST Nacht</t>
  </si>
  <si>
    <t xml:space="preserve">Wir sind uns bewusst, dass durch den Rechner nicht alle gängigen Tagdienste erfasst sind. Sollte ein Bedarf für nicht inkludierte Tagdienstvarianten bestehen, bitten wir um Rückmeldung. </t>
  </si>
  <si>
    <t>DV</t>
  </si>
  <si>
    <t>Dienstortverlagerung</t>
  </si>
  <si>
    <t>Urlaub (bereits im Rahmen der Diensteinteilung geplant)</t>
  </si>
  <si>
    <t>TB-IST</t>
  </si>
  <si>
    <t>Arbeitszeitnachweis &amp; Gehaltsrechner</t>
  </si>
  <si>
    <t>Datum</t>
  </si>
  <si>
    <t>einzelne ZA h</t>
  </si>
  <si>
    <t>Pflegekarenz ohne erfolgte Diensteinteilung</t>
  </si>
  <si>
    <t>TD12,5</t>
  </si>
  <si>
    <t>Tagdienst 12,5h</t>
  </si>
  <si>
    <t>ND12,5</t>
  </si>
  <si>
    <t>Nachdienst 12,5h</t>
  </si>
  <si>
    <t>Nachtdienst 12,5h</t>
  </si>
  <si>
    <t>geplanter Tagesblock</t>
  </si>
  <si>
    <t>Erklärung geplanter Tagesblock</t>
  </si>
  <si>
    <t>WR</t>
  </si>
  <si>
    <t>Zeitausgleich-Gutstunden</t>
  </si>
  <si>
    <t>ND-Gutstunden</t>
  </si>
  <si>
    <t>DRZ</t>
  </si>
  <si>
    <t>TB-DRZ</t>
  </si>
  <si>
    <t>NDG</t>
  </si>
  <si>
    <t>RG</t>
  </si>
  <si>
    <t>Röntgen-Gutstunden</t>
  </si>
  <si>
    <t>Stunden Konto</t>
  </si>
  <si>
    <t>Stundenkonto</t>
  </si>
  <si>
    <t>Ein Urlaubstag bzw. eine urlaubsäquivalente Abwesenheit bei einer 5-Tage-Woche reduziert somit den Durchrechnungszeitraum um 0,2 Wochen.</t>
  </si>
  <si>
    <t>im aktuellen Rechner für den Durchrechnungszeitraum mit 0h bewertet.</t>
  </si>
  <si>
    <t>Einhaltung der Wochenruhezeit</t>
  </si>
  <si>
    <t>TD6-12,5</t>
  </si>
  <si>
    <t>Tagdienst 6-12,5h</t>
  </si>
  <si>
    <t>Nachtdienst-Gutstunden</t>
  </si>
  <si>
    <t>DRZ Arbeitszeit h</t>
  </si>
  <si>
    <t>Brutto-Grundgehalt</t>
  </si>
  <si>
    <t>Brutto-Gesamtgehalt</t>
  </si>
  <si>
    <t>ja</t>
  </si>
  <si>
    <t>nein</t>
  </si>
  <si>
    <t>Nachtdienst 12,5h : 20.00 - 08.30 Uhr Dienstzeit</t>
  </si>
  <si>
    <t>Röntgen-Gutstd.</t>
  </si>
  <si>
    <t>Nachtdienste 12,5h</t>
  </si>
  <si>
    <t>Dienste So (FA 4h)</t>
  </si>
  <si>
    <t>Dienste Ft (FA 4h)</t>
  </si>
  <si>
    <t>Dienste WT vor Ft (9h)</t>
  </si>
  <si>
    <t>Dienste Sa (FA 8,5h)</t>
  </si>
  <si>
    <t>Dienste WT vor Ft (FA 8,5h)</t>
  </si>
  <si>
    <t>Dienste So vor Feiertag (FA + 8,5h)</t>
  </si>
  <si>
    <t>Dienste Ft vor Ft (FA + 8,5h)</t>
  </si>
  <si>
    <t>Dienste Ft vor So (FA + 8,5h)</t>
  </si>
  <si>
    <t>Abwesenheiten</t>
  </si>
  <si>
    <t>BERECHNUNG DER ARBEITSZEIT DES DURCHRECHNUNGSZEITRAUMES SOWIE DER IST-ARBEITSZEIT DES MONATS</t>
  </si>
  <si>
    <t>GEHALTSRECHNER</t>
  </si>
  <si>
    <t>GUTSTUNDENKONTO</t>
  </si>
  <si>
    <t>ÜBERSTUNDENDOKUMENTATION</t>
  </si>
  <si>
    <t>Zudem kann bei Eingabe einer Überstundenbegründung in das vorgesehene Feld auf jedem Monatsblatt für jedes Monat ein automatisierter Überstundenzettel ausgedruckt werden. Im Arbeitsblatt Üst</t>
  </si>
  <si>
    <t xml:space="preserve">Dieser Rechner kann die offizielle Arbeitszeit- und Gehaltsberechung durch die Dienstgeberin natürlich nicht ersetzen. </t>
  </si>
  <si>
    <t>Überstunden Begründung</t>
  </si>
  <si>
    <t>ND-Gutstd.</t>
  </si>
  <si>
    <t>Unterschrift des Bediensteten:</t>
  </si>
  <si>
    <t>spontaner Nachtdienst</t>
  </si>
  <si>
    <t>spontaner ND</t>
  </si>
  <si>
    <t>Ug</t>
  </si>
  <si>
    <t>PKg</t>
  </si>
  <si>
    <t>SUg</t>
  </si>
  <si>
    <t>ungeplante Tagesblock Ergänzung</t>
  </si>
  <si>
    <t>ungeplante Ergänzung</t>
  </si>
  <si>
    <t>24.00 - 06.00</t>
  </si>
  <si>
    <t>22.00 - 24.00</t>
  </si>
  <si>
    <t>Urlaub bei bestehender Diensteinteilung</t>
  </si>
  <si>
    <t>Zeitausgleich bei bestehender Diensteinteilung</t>
  </si>
  <si>
    <t>Nachtdienst Gutstunden bei bestehender Diensteinteilung</t>
  </si>
  <si>
    <t>Krankenstand bei bestehender Diensteinteilung</t>
  </si>
  <si>
    <t>Pflegekarenz bei bestehender Diensteinteilung</t>
  </si>
  <si>
    <t>Verlängerter Dienst (Nachtdienst) bei bestehender Diensteinteilung</t>
  </si>
  <si>
    <t>Nachdienst 12,5h bei bestehender Diensteinteilung</t>
  </si>
  <si>
    <t>TD6,25</t>
  </si>
  <si>
    <t>Tagdienst 6,25h</t>
  </si>
  <si>
    <t>Auf jedem Monatsblatt wird die durchschnittliche Wochenarbeitszeit, die Ist- bzw. Soll-Arbeitszeit, die durchrechnungszeitraum-relevante Arbeitszeit sowie die Nachtdienstanzahl für das laufende Monat angezeigt.</t>
  </si>
  <si>
    <t>nicht abgebildet! In Rahmen der Dienstplanerstellung muss darauf geachtet werden, dass die Ist-Arbeitszeit zumindest die Soll-Arbeitszeit erreicht, da Minusstunden unzulässig sind.</t>
  </si>
  <si>
    <t>Eingabemöglichkeiten auf den Monatsblättern:</t>
  </si>
  <si>
    <t>Geplanter Tagesblock (Eingabemöglichkeit, die geplante Tagespräsenz zu definieren):</t>
  </si>
  <si>
    <t>Ungeplante Tagesblockergänzung (Eingabemöglichkeit, die Tagespräsenz bei bereits stattgefundener Diensteinteilung zu verändern):</t>
  </si>
  <si>
    <t>Alle Abwesenheitsarten können ungeplant (spontan) genommen werden und sind stundenmäßig wie der voreingeteilte Tagesblock bewertet.</t>
  </si>
  <si>
    <t xml:space="preserve">Die Eingabe von WR in dieser Zeile ist dann zulässig, wenn sie erst im Nachhinein konsumiert werden kann (Beispiel: Einspringen für einen Samstagdienst im Krankheitsfall). </t>
  </si>
  <si>
    <t>geplante Tagespräsenz aber nicht verändert werden.</t>
  </si>
  <si>
    <t>Auch die im Erlass zur "Regelung der gerechten Dienstplangestaltung" angeführte Möglichkeit geplante Dienste auf Basis angeordneter Überstunden einzuteilen, erfolgt in dieser Zeile. Sollte in einem</t>
  </si>
  <si>
    <t>Monat die Sollarbeitszeit um 12,5h oder mehr bei Leistung von Nachtdiensten bzw. um 25h oder mehr bei Leistung von verlängerten Nachtdiensten überschritten werden, kann der eingetragene</t>
  </si>
  <si>
    <t>Dienst in dieser Spalte vermerkt werden, muss dann aber aus der Spalte geplante Tagespräsenz entfernt werden. Dies ist nötig, um eine korrekte Gehaltsberechnung zu ermöglichen.</t>
  </si>
  <si>
    <t>ÜST Tag und ÜST Nacht (Eingabemöglichkeit zur Dokumentation von angeordneten Überstunden):</t>
  </si>
  <si>
    <t>In dieser Spalte können sowohl Tag- wie Nacht-Überstunden dokumentiert werden, die dann automatisch in den Überstundenbogen (Blatt: Üst) übernommen werden.</t>
  </si>
  <si>
    <t>Auf Grund der in manchen Häusern eingeführten 6,25h-Dienste können nun auch Überstunden mit viertelstündlichen Beginn- und Endzeiten eingefügt werden.</t>
  </si>
  <si>
    <t>Einzelne ZA h (Konsumation von einzelnen Zeitausgleichstunden):</t>
  </si>
  <si>
    <t>Sollte man an einem Tag vorzeitig auf Zeitausgleichbasis die Arbeit beenden bzw. den Dienst später antreten, können die Zeitausgleichstunden hier dokumentiert werden.</t>
  </si>
  <si>
    <t>Die errechneten Bruttogehälter sind je nach Auswahl der Abgeltung der angeordneten Überstunden auf den entsprechenden Monatsblättern in den oberen Spalten neben den Arbeitsstunden zu entnehmen.</t>
  </si>
  <si>
    <t>Die in einem Monat erbrachten Mehrstunden werden erst im Folgemonat ausgezahlt! D.h., dass die berechneten Überstunden und Zulagen des Juli wie bisher erst mit dem Gehalt des August ausbezahlt werden.</t>
  </si>
  <si>
    <t xml:space="preserve">kann in einem Drop-Down-Menu das entsprechende Monat und per Klick Auszahlung oder Zeitausgleich ausgewählt werden. Tagesüberstunden werden auf die erste Seite des Arbeitsblattes mit der bereits </t>
  </si>
  <si>
    <t>befüllten Begründung im jeweiligen Monatsblatt übernommen. Die selten anfallenden Nachtüberstunden werden auf der zweiten Seite angeführt. Die Überstundenbegründung kann dann im Arbeitsblatt Üst</t>
  </si>
  <si>
    <t>in der entsprechenden Spalte hinzugefügt werden.</t>
  </si>
  <si>
    <t>Lauffähig ab Office Version 2007.</t>
  </si>
  <si>
    <t>Ein Service der</t>
  </si>
  <si>
    <t>TD6,5</t>
  </si>
  <si>
    <t>TD11,5</t>
  </si>
  <si>
    <t>Tagdienst 6,5h</t>
  </si>
  <si>
    <t>Tagdienst 11,5h</t>
  </si>
  <si>
    <t>TD7,5</t>
  </si>
  <si>
    <t>TD8,5</t>
  </si>
  <si>
    <t>TD9,5</t>
  </si>
  <si>
    <t>TD10,5</t>
  </si>
  <si>
    <t>TD11</t>
  </si>
  <si>
    <t>TD12</t>
  </si>
  <si>
    <t>Tagdienst 7,5h</t>
  </si>
  <si>
    <t>Tagdienst 8,5h</t>
  </si>
  <si>
    <t>Tagdienst 9,5h</t>
  </si>
  <si>
    <t>Tagdienst 10,5h</t>
  </si>
  <si>
    <t>Tagdienst 11h</t>
  </si>
  <si>
    <t>Tagdienst 12h</t>
  </si>
  <si>
    <t>TD5,5</t>
  </si>
  <si>
    <t>Tagdienst 5,5h</t>
  </si>
  <si>
    <t>9902/9909 Nacht-Überstunden</t>
  </si>
  <si>
    <t>Stunden &gt; Sollzeit (Tag/Wochentag/Samstag)</t>
  </si>
  <si>
    <t>08.00 - 09.00</t>
  </si>
  <si>
    <t>Summe 1.HJ</t>
  </si>
  <si>
    <t>Summe 2.HJ</t>
  </si>
  <si>
    <t>ND Pauschale 22.00 - 24.00</t>
  </si>
  <si>
    <t>ND Pauschale 24.00 - 06.00</t>
  </si>
  <si>
    <t>Gebührenurlaub (h)</t>
  </si>
  <si>
    <t>ZA (h)</t>
  </si>
  <si>
    <t>Sollarbeitszeit (h)</t>
  </si>
  <si>
    <t>Tage gesamt (d)</t>
  </si>
  <si>
    <t>Feiertage (d)</t>
  </si>
  <si>
    <t>WoE Tage (d)</t>
  </si>
  <si>
    <t>Werktage (d)</t>
  </si>
  <si>
    <t>DRZ Tage (d)</t>
  </si>
  <si>
    <t>DRZ (Tage-WE)</t>
  </si>
  <si>
    <t>9639 Feiertagsabgeltung 25h ND</t>
  </si>
  <si>
    <t>9639 Feiertagsabgeltung 12,5h ND/TD</t>
  </si>
  <si>
    <t>Durchrechnung</t>
  </si>
  <si>
    <t>Jänner.</t>
  </si>
  <si>
    <t>Durchrechnung/Monat</t>
  </si>
  <si>
    <t>A(d)</t>
  </si>
  <si>
    <t>Abwesenheiten (h)</t>
  </si>
  <si>
    <t>Pflegekarenz</t>
  </si>
  <si>
    <t>Krankenstand</t>
  </si>
  <si>
    <t>Gebührenurlaub</t>
  </si>
  <si>
    <t>Jahr Gesamt (h)</t>
  </si>
  <si>
    <t>Jahr Gesamt (d)</t>
  </si>
  <si>
    <t>Monat Gesamt (h)</t>
  </si>
  <si>
    <t>Monat Gesamt (d)</t>
  </si>
  <si>
    <t>Wochenruhe</t>
  </si>
  <si>
    <t>DRZ 1 Gesamt (h)</t>
  </si>
  <si>
    <t>DRZ 2 Gesamt (h)</t>
  </si>
  <si>
    <t>DRZ 1 Gesamt (d)</t>
  </si>
  <si>
    <t>DRZ 2 Gesamt (d)</t>
  </si>
  <si>
    <t>ÜST TD</t>
  </si>
  <si>
    <t>Tagdienst 5h nach Erreichen der Sollarbeitszeit</t>
  </si>
  <si>
    <t>Tagdienst 5,5h nach Erreichen der Sollarbeitszeit</t>
  </si>
  <si>
    <t>Tagdienst 6h nach Erreichen der Sollarbeitszeit</t>
  </si>
  <si>
    <t>Tagdienst 6,25h nach Erreichen der Sollarbeitszeit</t>
  </si>
  <si>
    <t>Tagdienst 6,5h nach Erreichen der Sollarbeitszeit</t>
  </si>
  <si>
    <t>Tagdienst 7h nach Erreichen der Sollarbeitszeit</t>
  </si>
  <si>
    <t>Tagdienst 7,5h nach Erreichen der Sollarbeitszeit</t>
  </si>
  <si>
    <t>Tagdienst 8h nach Erreichen der Sollarbeitszeit</t>
  </si>
  <si>
    <t>Tagdienst 8,5h nach Erreichen der Sollarbeitszeit</t>
  </si>
  <si>
    <t>Tagdienst 9h nach Erreichen der Sollarbeitszeit</t>
  </si>
  <si>
    <t>Tagdienst 9,5h nach Erreichen der Sollarbeitszeit</t>
  </si>
  <si>
    <t>Tagdienst 10h nach Erreichen der Sollarbeitszeit</t>
  </si>
  <si>
    <t>Tagdienst 10,5h nach Erreichen der Sollarbeitszeit</t>
  </si>
  <si>
    <t>Tagdienst 11h nach Erreichen der Sollarbeitszeit</t>
  </si>
  <si>
    <t>Tagdienst 11,5h nach Erreichen der Sollarbeitszeit</t>
  </si>
  <si>
    <t>Tagdienst 12h nach Erreichen der Sollarbeitszeit</t>
  </si>
  <si>
    <t>Tagdienst 12,5h nach Erreichen der Sollarbeitszeit</t>
  </si>
  <si>
    <t>Z0</t>
  </si>
  <si>
    <t>Ausgleichstag</t>
  </si>
  <si>
    <t>Dienstanzahl</t>
  </si>
  <si>
    <t>Name</t>
  </si>
  <si>
    <t>Vorrückungsstichtag</t>
  </si>
  <si>
    <t>9957 Entschädigung (Nachtgutstunden)</t>
  </si>
  <si>
    <t>Vorrückung</t>
  </si>
  <si>
    <t>mögliche ND bei 25h Dienstform</t>
  </si>
  <si>
    <t>SOLL-Arbeitszeit abzüglich urlaubsäquivalenter Tage</t>
  </si>
  <si>
    <t xml:space="preserve">Anspruch auf Röntgengutstunden     </t>
  </si>
  <si>
    <t>Abgeltung von Überstunden nach Dienst</t>
  </si>
  <si>
    <t>finanziell</t>
  </si>
  <si>
    <t>Freizeit</t>
  </si>
  <si>
    <t xml:space="preserve">Anspruch auf Röntgengutstunden  </t>
  </si>
  <si>
    <t xml:space="preserve">Abgeltung von Überstunden nach Dienst  </t>
  </si>
  <si>
    <t xml:space="preserve">9901/9908 Tag-Überstunden             h&gt;ZA </t>
  </si>
  <si>
    <t>Dienstzulage (Psychiatrie)</t>
  </si>
  <si>
    <t>9430 ZNA-Zulage</t>
  </si>
  <si>
    <t>Überstunden Tag 1h (GG-35)/173*1,5</t>
  </si>
  <si>
    <t>Nachtdienstzulage</t>
  </si>
  <si>
    <t>SF Zulage</t>
  </si>
  <si>
    <t>Psych Zulage</t>
  </si>
  <si>
    <t xml:space="preserve">Wie schon in den Vorausgaben handelt es sich um ein Behelfstool zur Einschätzung der durchschnittlichen Wochenarbeitszeit der Durchrechnungszeiträume. Der Arbeitszeitrechner soll bei der Diensteinteilung </t>
  </si>
  <si>
    <t>helfen, einen Überblick zu bekommen, wie sich die durchschnittliche Wochenarbeitszeit entwickeln wird und gibt Aufschluss darüber, ob die Soll-Arbeitszeit des entsprechenden Monats eingehalten wird.</t>
  </si>
  <si>
    <t xml:space="preserve">Nachdem für die Berechnung des Durchrechnungszeitraums andere Regeln als bei der Ist-Arbeitszeit-Berechnung gelten, werden beide Berechnungen getrennt dargestellt. </t>
  </si>
  <si>
    <t xml:space="preserve">ZZ-Gutstunden, Zeitausgleich von Überstunden, Nachtdienst- und Ersatzruhe-Gutstunden sowie die gesetzlich vorgeschrieben Einhaltung der Wochenruhezeit werden nicht wie Urlaub behandelt und </t>
  </si>
  <si>
    <t>Im Vorfeld ist jedes Monat mit der Maximalarbeitszeit von 48 Stunden pro Woche befüllt. Jede Anwenderin bzw. jeder Anwender sollte fortlaufend ihre/seine tatsächlich geleisteten Arbeitsstunden in die Tabellen</t>
  </si>
  <si>
    <t>eintragen. Mit jedem Monat, in dem die Annahme durch die realen Stunden ersetzt wird, steigt die Genauigkeit der Prognose.</t>
  </si>
  <si>
    <t xml:space="preserve">Bei der Befüllung der Zeilen in den Monatsblättern ist folgendermaßen vorzugehen. Zunächst werden in die Spalte "geplanter Tagesblock" die geplanten Urlaube und Nachtdienste eingetragen. Danach wird </t>
  </si>
  <si>
    <t xml:space="preserve">dieselbe Spalte solange mit den zu leistenden Tagdiensten befüllt, bis die Sollarbeitszeit erreicht oder gerade überschritten ist. Alle weiteren geplanten Tagdienste werden dann in der Nebenspalte "ungeplante </t>
  </si>
  <si>
    <t xml:space="preserve">Ergänzung" vermerkt. In dieser Spalte sind auch etwaige eingesprungene Dienste einzutragen. </t>
  </si>
  <si>
    <t>"Stricherl"-Tag</t>
  </si>
  <si>
    <t>Die entsprechenden Eingabemöglichkeiten in den einzelnen Feldern können per Drop-Down-Menu ausgewählt werden. Bei Selbsteingabe ist auf die Großschreibung zu achten. Copy &amp; Paste ist infolge zulässig.</t>
  </si>
  <si>
    <t xml:space="preserve">beschrieben. </t>
  </si>
  <si>
    <t xml:space="preserve">Bei der Gehaltsberechnung werden nach Überschreitung der monatlichen Soll-Arbeitszeit die Überstunden je nach Leistungszeitraum (Tag bzw. Nacht; Wochentag bzw. Sonn- und Feiertag) unterschiedlich </t>
  </si>
  <si>
    <t>abgerechnet. Dienste am Monatsletzten (z.B. Verlängerter Dienst am 31.7: 16h für Juli, 9h für August) werden folglich auch in das jeweilige Monat gesondert gebucht! Allfällige angeordnete Überstunden können</t>
  </si>
  <si>
    <t>wahlweise zur Auszahlung bzw. zur Gutschrift auf das Gutstundenkonto vermerkt werden. Auf den entsprechenden Monatsblättern kann hierfür die nötige Auswahl am unteren Ende der Spalte Stundenkonto</t>
  </si>
  <si>
    <t>getroffen werden.</t>
  </si>
  <si>
    <t>und ZZ-Tage sowie Zeitausgleich- und Nachdienstgutstunden eingegeben werden. Die aktuelle Summe der verfügbaren Gesamt-Abwesenheitszeit in Stunden kann nun auf den Monatsblättern eingesehen werden.</t>
  </si>
  <si>
    <t>Wenn der Wunsch besteht geleistete Überstunden nicht ausbezahlen zu lassen (Vorgehen hierfür s. Gehaltsrechner), werden sie zum Stundenkonto hinzuaddiert. Die anfallenden Nachtdienstgutstunden werden</t>
  </si>
  <si>
    <t>ebenso automatisch auf dem Gutstundenkonto gutgeschrieben. Wenn Nachtgutstunden nach 6 Monaten noch nicht aufgebraucht wurden, gelangen diese zur Auszahlung. In den Rechner eingegebene</t>
  </si>
  <si>
    <t xml:space="preserve">Abwesenheiten (U, AZV, etc.) reduzieren folglich das Stundenkontingent. Sollte ein Anspruch auf Röntgengutstunden bestehen, werden bei einem Klick auf das entsprechende Feld in den Monatsblättern pro </t>
  </si>
  <si>
    <t>Woche 2 Ausgleichstunden gutgeschrieben.</t>
  </si>
  <si>
    <t>GH Stufe</t>
  </si>
  <si>
    <t>Stunden/Woche (h)</t>
  </si>
  <si>
    <t>Tage/Woche (d)</t>
  </si>
  <si>
    <t>Arbeitstag (h)</t>
  </si>
  <si>
    <t>Jahresgebührenurlaub</t>
  </si>
  <si>
    <t>Mindesturlaub</t>
  </si>
  <si>
    <t>FA-ALT</t>
  </si>
  <si>
    <t>Besoldungsordnung 1994</t>
  </si>
  <si>
    <t>AB-ALT</t>
  </si>
  <si>
    <t>AB-NEU</t>
  </si>
  <si>
    <t>Wiener Bedienstetengesetz 2018</t>
  </si>
  <si>
    <t>Fachärztin/Facharzt-mit Funktion_WBG2018</t>
  </si>
  <si>
    <t>Fachärztin/Facharzt_BSO1994</t>
  </si>
  <si>
    <t>Fachärztin/Facharzt_WBG2018</t>
  </si>
  <si>
    <t>Ärztin/Arzt in Ausbildung_BSO1994</t>
  </si>
  <si>
    <t>Ärztin/Arzt in Ausbildung_WBG2018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</si>
  <si>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</si>
  <si>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</si>
  <si>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</si>
  <si>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</si>
  <si>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</si>
  <si>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</si>
  <si>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</si>
  <si>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</si>
  <si>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</si>
  <si>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Allgemeinmedizinerin/Allgemeinmediziner_WBG2018</t>
  </si>
  <si>
    <t>Reihe</t>
  </si>
  <si>
    <t>ZNA Zulage</t>
  </si>
  <si>
    <t>Name:</t>
  </si>
  <si>
    <t>Überstunden Nacht (22-6Uhr) spontaner ND</t>
  </si>
  <si>
    <t>FT</t>
  </si>
  <si>
    <t>Freier Tag Teilzeit</t>
  </si>
  <si>
    <t>FT Teilzeit</t>
  </si>
  <si>
    <t>Jahresgebührenurlaub (h)</t>
  </si>
  <si>
    <t>Allgemeinmedizinerin/Allgemeinmediziner_BSO1994</t>
  </si>
  <si>
    <t>Urlaubsabgeltung</t>
  </si>
  <si>
    <t>angetretene ND Anzahl/Monat</t>
  </si>
  <si>
    <t>angetretene ND Anzahl in DRZ</t>
  </si>
  <si>
    <t>geplante Nachtdienste</t>
  </si>
  <si>
    <t>Tag ÜST</t>
  </si>
  <si>
    <t>Nacht ÜST</t>
  </si>
  <si>
    <t>Diverses</t>
  </si>
  <si>
    <t>SF</t>
  </si>
  <si>
    <t>SpA</t>
  </si>
  <si>
    <t>Tagespräsenz</t>
  </si>
  <si>
    <t>Mit Vollendung des 33. LJ</t>
  </si>
  <si>
    <t>Mit Vollendung des 43. LJ</t>
  </si>
  <si>
    <t>Mit Vollendung des 57. LJ</t>
  </si>
  <si>
    <t>Mit Vollendung des 60. LJ</t>
  </si>
  <si>
    <t>Tagespräsenz h IST</t>
  </si>
  <si>
    <t>Tagespräsenz h DRZ</t>
  </si>
  <si>
    <t>SpA Beschreibung</t>
  </si>
  <si>
    <t>SpA Stunden</t>
  </si>
  <si>
    <t>spontaner ND h</t>
  </si>
  <si>
    <t>Tagespräsenz Beschreibung</t>
  </si>
  <si>
    <t>Wochen/AW-Stunden</t>
  </si>
  <si>
    <t>Wochentage</t>
  </si>
  <si>
    <t>Beschäftigungsumfang</t>
  </si>
  <si>
    <t>Summe 1.DRZ</t>
  </si>
  <si>
    <t>Summe 2.DRZ</t>
  </si>
  <si>
    <t>Grundgehalt &amp; Sonderzahlung</t>
  </si>
  <si>
    <t>Krankenstand (d)</t>
  </si>
  <si>
    <t>Sonderurlaub (d)</t>
  </si>
  <si>
    <t>Pflegekarenz (d)</t>
  </si>
  <si>
    <t>Überstunden Tag (6-22Uhr) Anzahl</t>
  </si>
  <si>
    <t>Überstunden Tag (6-22Uhr) spontaner ND</t>
  </si>
  <si>
    <t xml:space="preserve">ÜST Tag (6-22Uhr) </t>
  </si>
  <si>
    <t>ÜST Nacht (22-6Uhr)</t>
  </si>
  <si>
    <t>Halbfeiertage</t>
  </si>
  <si>
    <t>Karfreitag</t>
  </si>
  <si>
    <t>So/Ft</t>
  </si>
  <si>
    <t>So/Ft&gt;Soll</t>
  </si>
  <si>
    <t>Überstunden Nacht/SO/Ft 1h (GG-35)/173*2</t>
  </si>
  <si>
    <t>Tagdienste SO/Ft</t>
  </si>
  <si>
    <t>Heiliger Abend</t>
  </si>
  <si>
    <t>Sylvester</t>
  </si>
  <si>
    <t>FA-NEU W5/2</t>
  </si>
  <si>
    <t>AM-NEU W5/1</t>
  </si>
  <si>
    <t>§ 101a Abs. 1 W-BedG</t>
  </si>
  <si>
    <t>§ 101a Abs. 2 W-BedG</t>
  </si>
  <si>
    <t>§ 78a Abs. 1 W-BedG</t>
  </si>
  <si>
    <t>Kz. 954701</t>
  </si>
  <si>
    <t>Kz. 943001</t>
  </si>
  <si>
    <t>Kz. 954501</t>
  </si>
  <si>
    <t>Gutschrift (h)</t>
  </si>
  <si>
    <t>TD10</t>
  </si>
  <si>
    <t>Tagdienst 10h</t>
  </si>
  <si>
    <t>KA</t>
  </si>
  <si>
    <t>Kuraufenthalt</t>
  </si>
  <si>
    <t>K41</t>
  </si>
  <si>
    <t>K(A)g</t>
  </si>
  <si>
    <t>FA-NEU Fu W4/7</t>
  </si>
  <si>
    <t xml:space="preserve">kommen für sie daher die Vertragsbedienstetenordnung sowie die Dienstordnung der Stadt Wien. Für alle seit 1. Jänner 2018 neu eintretenden Ärztinnen und Ärzte gelten hingegen ausnahmslos die Bestimmungen des </t>
  </si>
  <si>
    <t xml:space="preserve">Wiener Bedienstetengesetzes. Folglich ist die entsprechende Funktion im Drop-Down-Feld zur Gehaltsberechnung auszuwählen. </t>
  </si>
  <si>
    <t xml:space="preserve">freie Tage haben und somit die Anstellung z.B. basierend auf einer 4-Tage-Woche erfolgen kann, besteht diesbezüglich ein weiteres neues Auswahlfeld auf der Startseite. Der freie Wochentag muss dann in den </t>
  </si>
  <si>
    <t>Monatsblättern durch Eintrag der Abkürzung FT (freier Tag) aus dem Drop-Down-Feld des entsprechenden Tages gekennzeichnet werden, damit eine korrekte Berechnung erfolgt.</t>
  </si>
  <si>
    <t>https://www.aekwien.at/wiener-gesundheitsverbund</t>
  </si>
  <si>
    <t>Wochenruhezeit</t>
  </si>
  <si>
    <t>Für allfällige Fehler in Programmierung, Berechnung, Bedienung oder Eingabe wird von unserer Seite keinerlei Haftung übernommen.</t>
  </si>
  <si>
    <t>Bei der Auswahl der Funktion auf der Startseite ist auf Folgendes zu achten: Angestellte Ärztinnen und Ärzte des KAV, die vor dem 1. Jänner 2018 eingetreten sind, unterliegen dem Dienstrecht der Stadt Wien. Zur Anwendung</t>
  </si>
  <si>
    <t>Weitere Infos darüber finden sie auf der Homepage der Wiener Ärztekammer:</t>
  </si>
  <si>
    <t>Der Vorrückungsstichtag sowie die Gehaltsstufe sind weiterhin aus einem rezenten Gehaltszettel zu entnehmen und entsprechend einzutragen.</t>
  </si>
  <si>
    <t xml:space="preserve">Bei der Ist-Arbeitszeit ist anzumerken, dass es sich hierbei um die Arbeitsstunden zum Zeitpunkt der Dienstplanerstellung handelt. Etwaige zusätzliche Dienste (z.B. Einspringen im Krankenstands Fall) werden hier </t>
  </si>
  <si>
    <t>Die im Krankenstands Fall zu leistenden Mehrdienste können hier ebenso vermerkt werden. Um eine korrekte Gehaltsberechnung zu ermöglichen, dürfen die eingetragenen Dienste in der Spalte</t>
  </si>
  <si>
    <t xml:space="preserve">Auf der Startseite muss zunächst die Verwendungsgruppe je nach Anspruch auf den Erhalt einer Wahrungszulage ausgewählt werden. Im nächsten Schritt soll die Gehaltstufe und der Vorrückstichtag zum </t>
  </si>
  <si>
    <t xml:space="preserve">angebenen Datum eingegeben werden. Diese Informationen sind aus dem jeweiligen Gehaltszettel des entsprechenden Monats zu entnehmen. Die Details für die korrekte Eingabe wurden bereits in der Einleitung </t>
  </si>
  <si>
    <t>Auf den Monatsblättern besteht nun die Möglichkeit bei Anspruch auf Auszahlung der ZNA- bzw. Psychiatriezulage, diese im entsprechenden Feld auszuwählen.</t>
  </si>
  <si>
    <t>Fachärztin/Facharzt-ZNA_WBG2018</t>
  </si>
  <si>
    <t>Ärztin/Arzt in Ausbildung-ZNA_WBG2018</t>
  </si>
  <si>
    <t>Allgemeinmedizinerin/Allgemeinmediziner-ZNA_WBG2018</t>
  </si>
  <si>
    <t>ZNA Zulage (h)</t>
  </si>
  <si>
    <t>ZNA Zulage allgemein</t>
  </si>
  <si>
    <t>Wie schon in den Vorjahren wird eine Berechnung für Teilzeitkräfte angeboten. Die zu leistenden Wochenstunden können im entsprechenden Drop-Down-Menu ausgewählt werden. Da manche Teilzeitkräfte fixe</t>
  </si>
  <si>
    <t>AM-ALT</t>
  </si>
  <si>
    <t>Februar.</t>
  </si>
  <si>
    <t>März.</t>
  </si>
  <si>
    <t>April.</t>
  </si>
  <si>
    <t>Mai.</t>
  </si>
  <si>
    <t>Juni.</t>
  </si>
  <si>
    <t>Juli.</t>
  </si>
  <si>
    <t>August.</t>
  </si>
  <si>
    <t>September.</t>
  </si>
  <si>
    <t>Oktober.</t>
  </si>
  <si>
    <t>November.</t>
  </si>
  <si>
    <t>Dezember.</t>
  </si>
  <si>
    <t>ARBEITSZEIT- &amp; GEHALTSRECHNER 2026</t>
  </si>
  <si>
    <t>Anbei finden Sie die 12. Ausgabe des Arbeitszeitrechners für das Jahr 2026. Im Vergleich zum Vorjahr ergeben sich im Bereich der Anwendungen keine Veränderungen.</t>
  </si>
  <si>
    <t>Das Modul, das einen Überblick über die zur Verfügung stehenden Gutstunden verschafft, wurde adaptiert. Im Startfeld sollen die zum Jahresbeginn (Stand 01.01.2026) noch nicht aufgebrauchten Urlaubs-, AZV-</t>
  </si>
  <si>
    <t>Gehaltsbänder W/1 und W/2 werden noch zusätzlich um 150€ * prozentuelle Gehaltserhöhung erhöht</t>
  </si>
  <si>
    <t>Gehalt Alt*1,035+150*0,035 (z.B. bei Erhöhung 3,5%)</t>
  </si>
  <si>
    <t>Version 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</si>
</sst>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mmmm"/>
    <numFmt numFmtId="166" formatCode="ddd"/>
    <numFmt numFmtId="167" formatCode="h:mm"/>
    <numFmt numFmtId="168" formatCode="h:mm;@"/>
    <numFmt numFmtId="169" formatCode="###0;###0"/>
    <numFmt numFmtId="170" formatCode="&quot;€&quot;\ #,##0.00"/>
    <numFmt numFmtId="171" formatCode="mmmm/"/>
    <numFmt numFmtId="172" formatCode="0;0"/>
    <numFmt numFmtId="173" formatCode="dd/mm/yyyy;@"/>
  </numFmts>
  <fonts count="69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92D05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4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name val="Calibri"/>
      <family val="2"/>
      <scheme val="minor"/>
    </font>
    <font>
      <i/>
      <sz val="8"/>
      <color theme="9" tint="-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9" tint="0.7999816888943144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i/>
      <sz val="12"/>
      <name val="Calibri"/>
      <family val="2"/>
      <scheme val="minor"/>
    </font>
    <font>
      <sz val="6"/>
      <color theme="9" tint="-0.249977111117893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indexed="81"/>
      <name val="Segoe UI"/>
      <family val="2"/>
    </font>
    <font>
      <sz val="8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4" tint="-0.499984740745262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indexed="64"/>
      </patternFill>
    </fill>
  </fills>
  <borders count="1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rgb="FFFF0000"/>
      </bottom>
      <diagonal/>
    </border>
    <border>
      <left/>
      <right style="thin">
        <color indexed="64"/>
      </right>
      <top style="hair">
        <color indexed="64"/>
      </top>
      <bottom style="hair">
        <color rgb="FFFF0000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FF0000"/>
      </bottom>
      <diagonal/>
    </border>
    <border>
      <left style="thin">
        <color indexed="64"/>
      </left>
      <right/>
      <top style="thin">
        <color indexed="64"/>
      </top>
      <bottom style="hair">
        <color rgb="FFFF0000"/>
      </bottom>
      <diagonal/>
    </border>
    <border>
      <left/>
      <right/>
      <top style="hair">
        <color indexed="64"/>
      </top>
      <bottom style="hair">
        <color rgb="FFFF0000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rgb="FFFF0000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rgb="FFFF0000"/>
      </bottom>
      <diagonal/>
    </border>
  </borders>
  <cellStyleXfs count="2">
    <xf numFmtId="0" fontId="0" fillId="0" borderId="0"/>
    <xf numFmtId="0" fontId="63" fillId="0" borderId="0" applyNumberFormat="0" applyFill="0" applyBorder="0" applyAlignment="0" applyProtection="0"/>
  </cellStyleXfs>
  <cellXfs count="646">
    <xf numFmtId="0" fontId="0" fillId="0" borderId="0" xfId="0"/>
    <xf numFmtId="0" fontId="0" fillId="0" borderId="0" xfId="0" applyAlignment="1">
      <alignment horizontal="left" vertical="top"/>
    </xf>
    <xf numFmtId="0" fontId="0" fillId="0" borderId="40" xfId="0" applyBorder="1" applyAlignment="1">
      <alignment horizontal="left" vertical="top"/>
    </xf>
    <xf numFmtId="0" fontId="6" fillId="0" borderId="43" xfId="0" applyFont="1" applyBorder="1" applyAlignment="1">
      <alignment vertical="top" wrapText="1"/>
    </xf>
    <xf numFmtId="0" fontId="0" fillId="0" borderId="44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47" xfId="0" applyBorder="1" applyAlignment="1">
      <alignment horizontal="left" vertical="top"/>
    </xf>
    <xf numFmtId="0" fontId="0" fillId="0" borderId="45" xfId="0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 wrapText="1"/>
    </xf>
    <xf numFmtId="0" fontId="0" fillId="0" borderId="48" xfId="0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169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6" fillId="0" borderId="33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vertical="top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4" fontId="0" fillId="0" borderId="0" xfId="0" applyNumberFormat="1" applyAlignment="1">
      <alignment horizontal="left" vertical="top"/>
    </xf>
    <xf numFmtId="164" fontId="9" fillId="0" borderId="0" xfId="0" applyNumberFormat="1" applyFont="1" applyAlignment="1">
      <alignment horizontal="center" vertical="center" wrapText="1"/>
    </xf>
    <xf numFmtId="0" fontId="8" fillId="0" borderId="35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 wrapText="1"/>
    </xf>
    <xf numFmtId="164" fontId="8" fillId="0" borderId="45" xfId="0" applyNumberFormat="1" applyFont="1" applyBorder="1" applyAlignment="1">
      <alignment horizontal="center" vertical="center" wrapText="1"/>
    </xf>
    <xf numFmtId="164" fontId="8" fillId="0" borderId="53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20" fontId="7" fillId="0" borderId="48" xfId="0" applyNumberFormat="1" applyFont="1" applyBorder="1" applyAlignment="1">
      <alignment horizontal="center" vertical="center" wrapText="1"/>
    </xf>
    <xf numFmtId="20" fontId="7" fillId="0" borderId="45" xfId="0" applyNumberFormat="1" applyFont="1" applyBorder="1" applyAlignment="1">
      <alignment horizontal="center" vertical="center" wrapText="1"/>
    </xf>
    <xf numFmtId="164" fontId="7" fillId="0" borderId="45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165" fontId="8" fillId="0" borderId="38" xfId="0" applyNumberFormat="1" applyFont="1" applyBorder="1" applyAlignment="1" applyProtection="1">
      <alignment horizontal="left" vertical="center" wrapText="1"/>
      <protection locked="0"/>
    </xf>
    <xf numFmtId="14" fontId="7" fillId="0" borderId="51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7" fillId="0" borderId="0" xfId="0" applyFont="1" applyAlignment="1">
      <alignment vertical="center"/>
    </xf>
    <xf numFmtId="0" fontId="23" fillId="0" borderId="0" xfId="0" applyFont="1"/>
    <xf numFmtId="0" fontId="22" fillId="0" borderId="0" xfId="0" applyFont="1" applyAlignment="1">
      <alignment vertical="top"/>
    </xf>
    <xf numFmtId="0" fontId="22" fillId="0" borderId="29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2" fillId="0" borderId="28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21" fillId="0" borderId="19" xfId="0" applyFont="1" applyBorder="1" applyAlignment="1" applyProtection="1">
      <alignment horizontal="center" vertical="center"/>
      <protection locked="0"/>
    </xf>
    <xf numFmtId="167" fontId="21" fillId="0" borderId="25" xfId="0" applyNumberFormat="1" applyFont="1" applyBorder="1" applyAlignment="1" applyProtection="1">
      <alignment horizontal="center" vertical="center"/>
      <protection locked="0"/>
    </xf>
    <xf numFmtId="167" fontId="21" fillId="0" borderId="20" xfId="0" applyNumberFormat="1" applyFont="1" applyBorder="1" applyAlignment="1" applyProtection="1">
      <alignment horizontal="center" vertical="center"/>
      <protection locked="0"/>
    </xf>
    <xf numFmtId="167" fontId="21" fillId="0" borderId="7" xfId="0" applyNumberFormat="1" applyFont="1" applyBorder="1" applyAlignment="1" applyProtection="1">
      <alignment horizontal="center"/>
      <protection locked="0"/>
    </xf>
    <xf numFmtId="167" fontId="21" fillId="0" borderId="8" xfId="0" applyNumberFormat="1" applyFont="1" applyBorder="1" applyAlignment="1" applyProtection="1">
      <alignment horizontal="center"/>
      <protection locked="0"/>
    </xf>
    <xf numFmtId="167" fontId="21" fillId="0" borderId="13" xfId="0" applyNumberFormat="1" applyFont="1" applyBorder="1" applyAlignment="1" applyProtection="1">
      <alignment horizontal="center"/>
      <protection locked="0"/>
    </xf>
    <xf numFmtId="167" fontId="21" fillId="0" borderId="31" xfId="0" applyNumberFormat="1" applyFont="1" applyBorder="1" applyAlignment="1" applyProtection="1">
      <alignment horizontal="center"/>
      <protection locked="0"/>
    </xf>
    <xf numFmtId="167" fontId="21" fillId="0" borderId="67" xfId="0" applyNumberFormat="1" applyFont="1" applyBorder="1" applyAlignment="1" applyProtection="1">
      <alignment horizontal="center"/>
      <protection locked="0"/>
    </xf>
    <xf numFmtId="167" fontId="21" fillId="0" borderId="16" xfId="0" applyNumberFormat="1" applyFont="1" applyBorder="1" applyAlignment="1" applyProtection="1">
      <alignment horizontal="center"/>
      <protection locked="0"/>
    </xf>
    <xf numFmtId="167" fontId="21" fillId="0" borderId="68" xfId="0" applyNumberFormat="1" applyFont="1" applyBorder="1" applyAlignment="1" applyProtection="1">
      <alignment horizontal="center"/>
      <protection locked="0"/>
    </xf>
    <xf numFmtId="167" fontId="21" fillId="0" borderId="65" xfId="0" applyNumberFormat="1" applyFont="1" applyBorder="1" applyAlignment="1" applyProtection="1">
      <alignment horizontal="center"/>
      <protection locked="0"/>
    </xf>
    <xf numFmtId="167" fontId="21" fillId="0" borderId="26" xfId="0" applyNumberFormat="1" applyFont="1" applyBorder="1" applyAlignment="1" applyProtection="1">
      <alignment horizontal="center"/>
      <protection locked="0"/>
    </xf>
    <xf numFmtId="167" fontId="21" fillId="0" borderId="17" xfId="0" applyNumberFormat="1" applyFont="1" applyBorder="1" applyAlignment="1" applyProtection="1">
      <alignment horizontal="center"/>
      <protection locked="0"/>
    </xf>
    <xf numFmtId="167" fontId="21" fillId="0" borderId="0" xfId="0" applyNumberFormat="1" applyFont="1" applyAlignment="1" applyProtection="1">
      <alignment horizontal="center"/>
      <protection locked="0"/>
    </xf>
    <xf numFmtId="164" fontId="25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6" fontId="18" fillId="0" borderId="18" xfId="0" applyNumberFormat="1" applyFont="1" applyBorder="1" applyAlignment="1">
      <alignment horizontal="center" vertical="center"/>
    </xf>
    <xf numFmtId="14" fontId="18" fillId="0" borderId="30" xfId="0" applyNumberFormat="1" applyFont="1" applyBorder="1" applyAlignment="1">
      <alignment horizontal="center" vertical="center"/>
    </xf>
    <xf numFmtId="14" fontId="18" fillId="0" borderId="20" xfId="0" applyNumberFormat="1" applyFont="1" applyBorder="1" applyAlignment="1">
      <alignment horizontal="center" vertical="center"/>
    </xf>
    <xf numFmtId="14" fontId="18" fillId="0" borderId="27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/>
    <xf numFmtId="167" fontId="21" fillId="0" borderId="72" xfId="0" applyNumberFormat="1" applyFont="1" applyBorder="1" applyAlignment="1" applyProtection="1">
      <alignment horizontal="center"/>
      <protection locked="0"/>
    </xf>
    <xf numFmtId="0" fontId="17" fillId="0" borderId="5" xfId="0" applyFont="1" applyBorder="1"/>
    <xf numFmtId="0" fontId="31" fillId="2" borderId="14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164" fontId="25" fillId="0" borderId="27" xfId="0" applyNumberFormat="1" applyFont="1" applyBorder="1" applyAlignment="1" applyProtection="1">
      <alignment horizontal="center" vertical="center"/>
      <protection locked="0"/>
    </xf>
    <xf numFmtId="0" fontId="37" fillId="0" borderId="0" xfId="0" applyFont="1" applyAlignment="1">
      <alignment vertical="center"/>
    </xf>
    <xf numFmtId="170" fontId="14" fillId="0" borderId="0" xfId="0" applyNumberFormat="1" applyFont="1" applyAlignment="1">
      <alignment horizontal="left"/>
    </xf>
    <xf numFmtId="167" fontId="21" fillId="0" borderId="6" xfId="0" applyNumberFormat="1" applyFont="1" applyBorder="1" applyAlignment="1" applyProtection="1">
      <alignment horizontal="center"/>
      <protection locked="0"/>
    </xf>
    <xf numFmtId="0" fontId="39" fillId="0" borderId="66" xfId="0" applyFont="1" applyBorder="1" applyAlignment="1">
      <alignment horizontal="left" vertical="center"/>
    </xf>
    <xf numFmtId="0" fontId="39" fillId="0" borderId="79" xfId="0" applyFont="1" applyBorder="1" applyAlignment="1">
      <alignment horizontal="left" vertical="center"/>
    </xf>
    <xf numFmtId="0" fontId="40" fillId="0" borderId="73" xfId="0" applyFont="1" applyBorder="1" applyAlignment="1" applyProtection="1">
      <alignment vertical="center" wrapText="1"/>
      <protection locked="0"/>
    </xf>
    <xf numFmtId="0" fontId="40" fillId="0" borderId="74" xfId="0" applyFont="1" applyBorder="1" applyAlignment="1" applyProtection="1">
      <alignment vertical="center" wrapText="1"/>
      <protection locked="0"/>
    </xf>
    <xf numFmtId="0" fontId="40" fillId="0" borderId="74" xfId="0" applyFont="1" applyBorder="1" applyAlignment="1" applyProtection="1">
      <alignment horizontal="left" vertical="center" wrapText="1"/>
      <protection locked="0"/>
    </xf>
    <xf numFmtId="0" fontId="39" fillId="0" borderId="18" xfId="0" applyFont="1" applyBorder="1" applyAlignment="1">
      <alignment horizontal="center" vertical="center"/>
    </xf>
    <xf numFmtId="164" fontId="39" fillId="0" borderId="25" xfId="0" applyNumberFormat="1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39" fillId="0" borderId="77" xfId="0" applyFont="1" applyBorder="1" applyAlignment="1">
      <alignment horizontal="center" vertical="center"/>
    </xf>
    <xf numFmtId="164" fontId="39" fillId="0" borderId="77" xfId="0" applyNumberFormat="1" applyFont="1" applyBorder="1" applyAlignment="1">
      <alignment horizontal="center" vertical="center"/>
    </xf>
    <xf numFmtId="0" fontId="39" fillId="0" borderId="77" xfId="0" applyFont="1" applyBorder="1" applyAlignment="1">
      <alignment horizontal="center"/>
    </xf>
    <xf numFmtId="0" fontId="39" fillId="0" borderId="61" xfId="0" applyFont="1" applyBorder="1" applyAlignment="1">
      <alignment horizontal="center"/>
    </xf>
    <xf numFmtId="0" fontId="39" fillId="0" borderId="61" xfId="0" applyFont="1" applyBorder="1" applyAlignment="1">
      <alignment horizontal="center" vertical="center"/>
    </xf>
    <xf numFmtId="167" fontId="41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1" fontId="39" fillId="0" borderId="77" xfId="0" applyNumberFormat="1" applyFont="1" applyBorder="1" applyAlignment="1">
      <alignment horizontal="center" vertical="center"/>
    </xf>
    <xf numFmtId="0" fontId="18" fillId="6" borderId="86" xfId="0" applyFont="1" applyFill="1" applyBorder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0" xfId="0" applyFont="1" applyFill="1" applyAlignment="1">
      <alignment horizontal="center" vertical="center"/>
    </xf>
    <xf numFmtId="0" fontId="18" fillId="6" borderId="29" xfId="0" applyFont="1" applyFill="1" applyBorder="1" applyAlignment="1">
      <alignment horizontal="left" vertical="center"/>
    </xf>
    <xf numFmtId="0" fontId="17" fillId="6" borderId="0" xfId="0" applyFont="1" applyFill="1" applyAlignment="1">
      <alignment vertical="center"/>
    </xf>
    <xf numFmtId="0" fontId="18" fillId="6" borderId="87" xfId="0" applyFont="1" applyFill="1" applyBorder="1" applyAlignment="1">
      <alignment vertical="center"/>
    </xf>
    <xf numFmtId="0" fontId="18" fillId="6" borderId="36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8" fontId="17" fillId="0" borderId="0" xfId="0" applyNumberFormat="1" applyFont="1" applyAlignment="1">
      <alignment horizontal="left"/>
    </xf>
    <xf numFmtId="0" fontId="14" fillId="0" borderId="36" xfId="0" applyFont="1" applyBorder="1"/>
    <xf numFmtId="0" fontId="14" fillId="0" borderId="0" xfId="0" applyFont="1" applyAlignment="1">
      <alignment horizontal="left" vertical="center"/>
    </xf>
    <xf numFmtId="0" fontId="37" fillId="0" borderId="0" xfId="0" applyFont="1"/>
    <xf numFmtId="1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168" fontId="17" fillId="0" borderId="0" xfId="0" applyNumberFormat="1" applyFont="1" applyAlignment="1">
      <alignment horizontal="left" vertical="center"/>
    </xf>
    <xf numFmtId="14" fontId="17" fillId="0" borderId="0" xfId="0" applyNumberFormat="1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4" fillId="4" borderId="0" xfId="0" applyFont="1" applyFill="1"/>
    <xf numFmtId="0" fontId="44" fillId="4" borderId="0" xfId="0" applyFont="1" applyFill="1" applyAlignment="1">
      <alignment vertical="center"/>
    </xf>
    <xf numFmtId="0" fontId="21" fillId="9" borderId="76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left" vertical="center"/>
    </xf>
    <xf numFmtId="0" fontId="16" fillId="9" borderId="64" xfId="0" applyFont="1" applyFill="1" applyBorder="1" applyAlignment="1">
      <alignment vertical="center" wrapText="1"/>
    </xf>
    <xf numFmtId="14" fontId="18" fillId="9" borderId="12" xfId="0" applyNumberFormat="1" applyFont="1" applyFill="1" applyBorder="1" applyAlignment="1">
      <alignment horizontal="center" vertical="center"/>
    </xf>
    <xf numFmtId="14" fontId="18" fillId="5" borderId="12" xfId="0" applyNumberFormat="1" applyFont="1" applyFill="1" applyBorder="1" applyAlignment="1">
      <alignment horizontal="center" vertical="center"/>
    </xf>
    <xf numFmtId="0" fontId="21" fillId="5" borderId="76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16" fillId="5" borderId="64" xfId="0" applyFont="1" applyFill="1" applyBorder="1" applyAlignment="1">
      <alignment vertical="center" wrapText="1"/>
    </xf>
    <xf numFmtId="0" fontId="21" fillId="5" borderId="75" xfId="0" applyFont="1" applyFill="1" applyBorder="1" applyAlignment="1">
      <alignment horizontal="center" vertical="center"/>
    </xf>
    <xf numFmtId="164" fontId="18" fillId="5" borderId="76" xfId="0" applyNumberFormat="1" applyFont="1" applyFill="1" applyBorder="1" applyAlignment="1">
      <alignment horizontal="center" vertical="center"/>
    </xf>
    <xf numFmtId="0" fontId="40" fillId="0" borderId="61" xfId="0" applyFont="1" applyBorder="1" applyAlignment="1">
      <alignment horizontal="center" vertical="center" wrapText="1"/>
    </xf>
    <xf numFmtId="0" fontId="16" fillId="9" borderId="61" xfId="0" applyFont="1" applyFill="1" applyBorder="1" applyAlignment="1">
      <alignment vertical="center" wrapText="1"/>
    </xf>
    <xf numFmtId="0" fontId="16" fillId="9" borderId="62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166" fontId="18" fillId="0" borderId="92" xfId="0" applyNumberFormat="1" applyFont="1" applyBorder="1" applyAlignment="1">
      <alignment horizontal="center" vertical="center"/>
    </xf>
    <xf numFmtId="14" fontId="18" fillId="0" borderId="62" xfId="0" applyNumberFormat="1" applyFont="1" applyBorder="1" applyAlignment="1">
      <alignment horizontal="center" vertical="center"/>
    </xf>
    <xf numFmtId="0" fontId="17" fillId="6" borderId="36" xfId="0" applyFont="1" applyFill="1" applyBorder="1" applyAlignment="1">
      <alignment vertical="center"/>
    </xf>
    <xf numFmtId="0" fontId="18" fillId="6" borderId="97" xfId="0" applyFont="1" applyFill="1" applyBorder="1" applyAlignment="1">
      <alignment horizontal="center" vertical="center"/>
    </xf>
    <xf numFmtId="170" fontId="26" fillId="6" borderId="32" xfId="0" applyNumberFormat="1" applyFont="1" applyFill="1" applyBorder="1" applyAlignment="1">
      <alignment horizontal="left" vertical="center"/>
    </xf>
    <xf numFmtId="0" fontId="18" fillId="6" borderId="93" xfId="0" applyFont="1" applyFill="1" applyBorder="1" applyAlignment="1">
      <alignment vertical="center"/>
    </xf>
    <xf numFmtId="0" fontId="18" fillId="6" borderId="94" xfId="0" applyFont="1" applyFill="1" applyBorder="1" applyAlignment="1">
      <alignment vertical="center"/>
    </xf>
    <xf numFmtId="0" fontId="18" fillId="6" borderId="94" xfId="0" applyFont="1" applyFill="1" applyBorder="1" applyAlignment="1">
      <alignment horizontal="center" vertical="center"/>
    </xf>
    <xf numFmtId="170" fontId="18" fillId="6" borderId="95" xfId="0" applyNumberFormat="1" applyFont="1" applyFill="1" applyBorder="1" applyAlignment="1">
      <alignment horizontal="left" vertical="center"/>
    </xf>
    <xf numFmtId="0" fontId="47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164" fontId="18" fillId="5" borderId="21" xfId="0" applyNumberFormat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164" fontId="50" fillId="5" borderId="76" xfId="0" applyNumberFormat="1" applyFont="1" applyFill="1" applyBorder="1" applyAlignment="1">
      <alignment horizontal="center" vertical="center"/>
    </xf>
    <xf numFmtId="0" fontId="16" fillId="9" borderId="76" xfId="0" applyFont="1" applyFill="1" applyBorder="1" applyAlignment="1">
      <alignment vertical="center" wrapText="1"/>
    </xf>
    <xf numFmtId="0" fontId="18" fillId="9" borderId="21" xfId="0" applyFont="1" applyFill="1" applyBorder="1" applyAlignment="1">
      <alignment horizontal="left" vertical="center"/>
    </xf>
    <xf numFmtId="0" fontId="16" fillId="5" borderId="76" xfId="0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15" fillId="4" borderId="0" xfId="0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8" fillId="10" borderId="0" xfId="0" applyFont="1" applyFill="1" applyAlignment="1">
      <alignment vertical="center"/>
    </xf>
    <xf numFmtId="0" fontId="42" fillId="4" borderId="0" xfId="0" applyFont="1" applyFill="1" applyAlignment="1">
      <alignment vertical="center"/>
    </xf>
    <xf numFmtId="0" fontId="42" fillId="4" borderId="0" xfId="0" applyFont="1" applyFill="1" applyAlignment="1">
      <alignment horizontal="left" vertical="center"/>
    </xf>
    <xf numFmtId="0" fontId="43" fillId="4" borderId="0" xfId="0" applyFont="1" applyFill="1" applyAlignment="1">
      <alignment vertical="center"/>
    </xf>
    <xf numFmtId="0" fontId="38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2" fontId="18" fillId="0" borderId="30" xfId="0" applyNumberFormat="1" applyFont="1" applyBorder="1" applyAlignment="1">
      <alignment horizontal="center" vertical="center"/>
    </xf>
    <xf numFmtId="167" fontId="41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1" fillId="9" borderId="76" xfId="0" applyFont="1" applyFill="1" applyBorder="1" applyAlignment="1" applyProtection="1">
      <alignment horizontal="center" vertical="center"/>
      <protection locked="0"/>
    </xf>
    <xf numFmtId="0" fontId="21" fillId="5" borderId="75" xfId="0" applyFont="1" applyFill="1" applyBorder="1" applyAlignment="1" applyProtection="1">
      <alignment horizontal="center" vertical="center"/>
      <protection locked="0"/>
    </xf>
    <xf numFmtId="0" fontId="51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2" fontId="18" fillId="5" borderId="64" xfId="0" applyNumberFormat="1" applyFont="1" applyFill="1" applyBorder="1" applyAlignment="1">
      <alignment horizontal="center" vertical="center"/>
    </xf>
    <xf numFmtId="164" fontId="50" fillId="5" borderId="99" xfId="0" applyNumberFormat="1" applyFont="1" applyFill="1" applyBorder="1" applyAlignment="1">
      <alignment horizontal="center" vertical="center"/>
    </xf>
    <xf numFmtId="167" fontId="21" fillId="0" borderId="100" xfId="0" applyNumberFormat="1" applyFont="1" applyBorder="1" applyAlignment="1" applyProtection="1">
      <alignment horizontal="center"/>
      <protection locked="0"/>
    </xf>
    <xf numFmtId="167" fontId="21" fillId="0" borderId="101" xfId="0" applyNumberFormat="1" applyFont="1" applyBorder="1" applyAlignment="1" applyProtection="1">
      <alignment horizontal="center"/>
      <protection locked="0"/>
    </xf>
    <xf numFmtId="2" fontId="18" fillId="5" borderId="102" xfId="0" applyNumberFormat="1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vertical="center" wrapText="1"/>
    </xf>
    <xf numFmtId="0" fontId="18" fillId="6" borderId="80" xfId="0" applyFont="1" applyFill="1" applyBorder="1" applyAlignment="1">
      <alignment horizontal="left" vertical="center"/>
    </xf>
    <xf numFmtId="0" fontId="37" fillId="0" borderId="0" xfId="0" applyFont="1" applyAlignment="1">
      <alignment horizontal="center"/>
    </xf>
    <xf numFmtId="0" fontId="18" fillId="3" borderId="104" xfId="0" applyFont="1" applyFill="1" applyBorder="1" applyAlignment="1" applyProtection="1">
      <alignment horizontal="center" vertical="center"/>
      <protection locked="0"/>
    </xf>
    <xf numFmtId="167" fontId="21" fillId="0" borderId="62" xfId="0" applyNumberFormat="1" applyFont="1" applyBorder="1" applyAlignment="1" applyProtection="1">
      <alignment horizontal="center"/>
      <protection locked="0"/>
    </xf>
    <xf numFmtId="0" fontId="48" fillId="0" borderId="0" xfId="0" applyFont="1" applyAlignment="1">
      <alignment vertical="center"/>
    </xf>
    <xf numFmtId="0" fontId="18" fillId="8" borderId="23" xfId="0" applyFont="1" applyFill="1" applyBorder="1" applyAlignment="1" applyProtection="1">
      <alignment horizontal="center" vertical="center"/>
      <protection locked="0"/>
    </xf>
    <xf numFmtId="0" fontId="39" fillId="4" borderId="78" xfId="0" applyFont="1" applyFill="1" applyBorder="1" applyAlignment="1">
      <alignment horizontal="center" vertical="center"/>
    </xf>
    <xf numFmtId="164" fontId="39" fillId="4" borderId="25" xfId="0" applyNumberFormat="1" applyFont="1" applyFill="1" applyBorder="1" applyAlignment="1">
      <alignment horizontal="center" vertical="center"/>
    </xf>
    <xf numFmtId="0" fontId="39" fillId="4" borderId="77" xfId="0" applyFont="1" applyFill="1" applyBorder="1" applyAlignment="1">
      <alignment horizontal="center" vertical="center"/>
    </xf>
    <xf numFmtId="164" fontId="39" fillId="4" borderId="77" xfId="0" applyNumberFormat="1" applyFont="1" applyFill="1" applyBorder="1" applyAlignment="1">
      <alignment horizontal="center" vertical="center"/>
    </xf>
    <xf numFmtId="2" fontId="21" fillId="0" borderId="18" xfId="0" applyNumberFormat="1" applyFont="1" applyBorder="1" applyAlignment="1">
      <alignment horizontal="center" vertical="center"/>
    </xf>
    <xf numFmtId="2" fontId="21" fillId="0" borderId="71" xfId="0" applyNumberFormat="1" applyFont="1" applyBorder="1" applyAlignment="1">
      <alignment horizontal="center" vertical="center"/>
    </xf>
    <xf numFmtId="2" fontId="21" fillId="0" borderId="69" xfId="0" applyNumberFormat="1" applyFont="1" applyBorder="1" applyAlignment="1">
      <alignment horizontal="center" vertical="center"/>
    </xf>
    <xf numFmtId="2" fontId="18" fillId="0" borderId="27" xfId="0" applyNumberFormat="1" applyFont="1" applyBorder="1" applyAlignment="1">
      <alignment horizontal="center" vertical="center"/>
    </xf>
    <xf numFmtId="2" fontId="48" fillId="5" borderId="76" xfId="0" applyNumberFormat="1" applyFont="1" applyFill="1" applyBorder="1" applyAlignment="1">
      <alignment horizontal="center" vertical="center"/>
    </xf>
    <xf numFmtId="2" fontId="39" fillId="0" borderId="77" xfId="0" applyNumberFormat="1" applyFont="1" applyBorder="1" applyAlignment="1">
      <alignment horizontal="center" vertical="center"/>
    </xf>
    <xf numFmtId="2" fontId="39" fillId="0" borderId="61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18" fillId="9" borderId="99" xfId="0" applyNumberFormat="1" applyFont="1" applyFill="1" applyBorder="1" applyAlignment="1">
      <alignment horizontal="center" vertical="center"/>
    </xf>
    <xf numFmtId="2" fontId="18" fillId="5" borderId="76" xfId="0" applyNumberFormat="1" applyFont="1" applyFill="1" applyBorder="1" applyAlignment="1">
      <alignment horizontal="center" vertical="center"/>
    </xf>
    <xf numFmtId="2" fontId="18" fillId="5" borderId="25" xfId="0" applyNumberFormat="1" applyFont="1" applyFill="1" applyBorder="1" applyAlignment="1">
      <alignment horizontal="center" vertical="center"/>
    </xf>
    <xf numFmtId="2" fontId="18" fillId="9" borderId="76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2" fontId="14" fillId="0" borderId="0" xfId="0" applyNumberFormat="1" applyFont="1" applyAlignment="1">
      <alignment horizontal="center"/>
    </xf>
    <xf numFmtId="0" fontId="18" fillId="5" borderId="0" xfId="0" applyFont="1" applyFill="1" applyAlignment="1">
      <alignment horizontal="center" vertical="center"/>
    </xf>
    <xf numFmtId="2" fontId="18" fillId="5" borderId="0" xfId="0" applyNumberFormat="1" applyFont="1" applyFill="1" applyAlignment="1">
      <alignment horizontal="center" vertical="center"/>
    </xf>
    <xf numFmtId="170" fontId="18" fillId="5" borderId="5" xfId="0" applyNumberFormat="1" applyFont="1" applyFill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170" fontId="18" fillId="5" borderId="8" xfId="0" applyNumberFormat="1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left" vertical="center"/>
    </xf>
    <xf numFmtId="164" fontId="39" fillId="4" borderId="98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9" fillId="0" borderId="0" xfId="0" applyFont="1"/>
    <xf numFmtId="0" fontId="39" fillId="0" borderId="25" xfId="0" applyFont="1" applyBorder="1"/>
    <xf numFmtId="0" fontId="39" fillId="0" borderId="77" xfId="0" applyFont="1" applyBorder="1"/>
    <xf numFmtId="0" fontId="39" fillId="0" borderId="98" xfId="0" applyFont="1" applyBorder="1"/>
    <xf numFmtId="0" fontId="45" fillId="11" borderId="86" xfId="0" applyFont="1" applyFill="1" applyBorder="1" applyAlignment="1">
      <alignment vertical="center"/>
    </xf>
    <xf numFmtId="0" fontId="45" fillId="11" borderId="0" xfId="0" applyFont="1" applyFill="1" applyAlignment="1">
      <alignment vertical="center"/>
    </xf>
    <xf numFmtId="0" fontId="46" fillId="11" borderId="0" xfId="0" applyFont="1" applyFill="1" applyAlignment="1">
      <alignment vertical="center"/>
    </xf>
    <xf numFmtId="170" fontId="45" fillId="11" borderId="29" xfId="0" applyNumberFormat="1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167" fontId="41" fillId="0" borderId="0" xfId="0" applyNumberFormat="1" applyFont="1" applyAlignment="1" applyProtection="1">
      <alignment horizontal="center"/>
      <protection locked="0"/>
    </xf>
    <xf numFmtId="0" fontId="39" fillId="0" borderId="0" xfId="0" applyFont="1" applyAlignment="1">
      <alignment horizontal="left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77" xfId="0" applyFont="1" applyFill="1" applyBorder="1" applyAlignment="1">
      <alignment horizontal="center" vertical="center"/>
    </xf>
    <xf numFmtId="0" fontId="52" fillId="2" borderId="76" xfId="0" applyFont="1" applyFill="1" applyBorder="1" applyAlignment="1">
      <alignment horizontal="center" vertical="center"/>
    </xf>
    <xf numFmtId="0" fontId="52" fillId="0" borderId="69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164" fontId="25" fillId="0" borderId="2" xfId="0" applyNumberFormat="1" applyFont="1" applyBorder="1" applyAlignment="1">
      <alignment vertical="center"/>
    </xf>
    <xf numFmtId="0" fontId="18" fillId="9" borderId="76" xfId="0" applyFont="1" applyFill="1" applyBorder="1" applyAlignment="1">
      <alignment vertical="center"/>
    </xf>
    <xf numFmtId="0" fontId="39" fillId="4" borderId="25" xfId="0" applyFont="1" applyFill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18" fillId="6" borderId="96" xfId="0" applyFont="1" applyFill="1" applyBorder="1" applyAlignment="1">
      <alignment horizontal="left" vertical="center"/>
    </xf>
    <xf numFmtId="0" fontId="18" fillId="6" borderId="76" xfId="0" applyFont="1" applyFill="1" applyBorder="1" applyAlignment="1">
      <alignment horizontal="left" vertical="center"/>
    </xf>
    <xf numFmtId="3" fontId="18" fillId="5" borderId="0" xfId="0" applyNumberFormat="1" applyFont="1" applyFill="1" applyAlignment="1">
      <alignment horizontal="center" vertical="center"/>
    </xf>
    <xf numFmtId="0" fontId="18" fillId="9" borderId="21" xfId="0" applyFont="1" applyFill="1" applyBorder="1" applyAlignment="1">
      <alignment horizontal="center" vertical="center"/>
    </xf>
    <xf numFmtId="0" fontId="18" fillId="6" borderId="63" xfId="0" applyFont="1" applyFill="1" applyBorder="1" applyAlignment="1">
      <alignment horizontal="left" vertical="center"/>
    </xf>
    <xf numFmtId="0" fontId="18" fillId="6" borderId="21" xfId="0" applyFont="1" applyFill="1" applyBorder="1" applyAlignment="1">
      <alignment horizontal="left" vertical="center"/>
    </xf>
    <xf numFmtId="1" fontId="39" fillId="0" borderId="107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39" fillId="7" borderId="77" xfId="0" applyFont="1" applyFill="1" applyBorder="1" applyAlignment="1">
      <alignment horizontal="center" vertical="center"/>
    </xf>
    <xf numFmtId="0" fontId="40" fillId="2" borderId="77" xfId="0" applyFont="1" applyFill="1" applyBorder="1" applyAlignment="1">
      <alignment horizontal="center" vertical="center" wrapText="1"/>
    </xf>
    <xf numFmtId="0" fontId="39" fillId="2" borderId="107" xfId="0" applyFont="1" applyFill="1" applyBorder="1" applyAlignment="1">
      <alignment horizontal="center" vertical="center"/>
    </xf>
    <xf numFmtId="0" fontId="39" fillId="2" borderId="77" xfId="0" applyFont="1" applyFill="1" applyBorder="1" applyAlignment="1">
      <alignment horizontal="center" vertical="center"/>
    </xf>
    <xf numFmtId="0" fontId="44" fillId="4" borderId="21" xfId="0" applyFont="1" applyFill="1" applyBorder="1" applyAlignment="1">
      <alignment vertical="center"/>
    </xf>
    <xf numFmtId="164" fontId="51" fillId="4" borderId="0" xfId="0" applyNumberFormat="1" applyFont="1" applyFill="1" applyAlignment="1">
      <alignment horizontal="center" vertical="top"/>
    </xf>
    <xf numFmtId="49" fontId="14" fillId="0" borderId="0" xfId="0" applyNumberFormat="1" applyFont="1" applyAlignment="1">
      <alignment horizontal="center" vertical="center"/>
    </xf>
    <xf numFmtId="171" fontId="17" fillId="0" borderId="0" xfId="0" applyNumberFormat="1" applyFont="1" applyAlignment="1">
      <alignment horizontal="center" vertical="center"/>
    </xf>
    <xf numFmtId="0" fontId="54" fillId="4" borderId="0" xfId="0" applyFont="1" applyFill="1" applyAlignment="1">
      <alignment vertical="center"/>
    </xf>
    <xf numFmtId="0" fontId="55" fillId="4" borderId="0" xfId="0" applyFont="1" applyFill="1"/>
    <xf numFmtId="0" fontId="17" fillId="4" borderId="0" xfId="0" applyFont="1" applyFill="1"/>
    <xf numFmtId="0" fontId="56" fillId="4" borderId="110" xfId="0" applyFont="1" applyFill="1" applyBorder="1" applyAlignment="1">
      <alignment horizontal="center" vertical="center"/>
    </xf>
    <xf numFmtId="0" fontId="57" fillId="5" borderId="110" xfId="0" applyFont="1" applyFill="1" applyBorder="1" applyAlignment="1">
      <alignment horizontal="center" vertical="center"/>
    </xf>
    <xf numFmtId="0" fontId="57" fillId="5" borderId="110" xfId="0" applyFont="1" applyFill="1" applyBorder="1" applyAlignment="1">
      <alignment horizontal="left" vertical="center"/>
    </xf>
    <xf numFmtId="1" fontId="56" fillId="4" borderId="110" xfId="0" applyNumberFormat="1" applyFont="1" applyFill="1" applyBorder="1" applyAlignment="1">
      <alignment horizontal="center" vertical="center"/>
    </xf>
    <xf numFmtId="49" fontId="57" fillId="5" borderId="110" xfId="0" applyNumberFormat="1" applyFont="1" applyFill="1" applyBorder="1" applyAlignment="1">
      <alignment horizontal="left" vertical="center"/>
    </xf>
    <xf numFmtId="0" fontId="56" fillId="4" borderId="0" xfId="0" applyFont="1" applyFill="1"/>
    <xf numFmtId="0" fontId="57" fillId="4" borderId="110" xfId="0" applyFont="1" applyFill="1" applyBorder="1" applyAlignment="1">
      <alignment horizontal="center" vertical="center"/>
    </xf>
    <xf numFmtId="0" fontId="57" fillId="5" borderId="110" xfId="0" applyFont="1" applyFill="1" applyBorder="1" applyAlignment="1">
      <alignment vertical="center"/>
    </xf>
    <xf numFmtId="1" fontId="17" fillId="4" borderId="0" xfId="0" applyNumberFormat="1" applyFont="1" applyFill="1"/>
    <xf numFmtId="172" fontId="56" fillId="4" borderId="110" xfId="0" applyNumberFormat="1" applyFont="1" applyFill="1" applyBorder="1" applyAlignment="1">
      <alignment horizontal="center" vertical="center"/>
    </xf>
    <xf numFmtId="0" fontId="44" fillId="4" borderId="110" xfId="0" applyFont="1" applyFill="1" applyBorder="1"/>
    <xf numFmtId="0" fontId="39" fillId="0" borderId="98" xfId="0" applyFont="1" applyBorder="1" applyAlignment="1">
      <alignment horizontal="center" vertical="center"/>
    </xf>
    <xf numFmtId="167" fontId="53" fillId="0" borderId="0" xfId="0" applyNumberFormat="1" applyFont="1" applyAlignment="1" applyProtection="1">
      <alignment horizontal="center"/>
      <protection locked="0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77" xfId="0" applyFont="1" applyBorder="1" applyAlignment="1">
      <alignment horizontal="center"/>
    </xf>
    <xf numFmtId="0" fontId="52" fillId="5" borderId="77" xfId="0" applyFont="1" applyFill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44" fillId="4" borderId="0" xfId="0" applyFont="1" applyFill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17" fillId="3" borderId="114" xfId="0" applyFont="1" applyFill="1" applyBorder="1" applyAlignment="1" applyProtection="1">
      <alignment horizontal="center" vertical="center"/>
      <protection locked="0"/>
    </xf>
    <xf numFmtId="0" fontId="22" fillId="5" borderId="111" xfId="0" applyFont="1" applyFill="1" applyBorder="1" applyAlignment="1">
      <alignment vertical="center"/>
    </xf>
    <xf numFmtId="0" fontId="22" fillId="5" borderId="115" xfId="0" applyFont="1" applyFill="1" applyBorder="1" applyAlignment="1">
      <alignment vertical="center"/>
    </xf>
    <xf numFmtId="1" fontId="47" fillId="4" borderId="29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18" fillId="5" borderId="1" xfId="0" applyFont="1" applyFill="1" applyBorder="1" applyAlignment="1">
      <alignment vertical="center"/>
    </xf>
    <xf numFmtId="0" fontId="18" fillId="5" borderId="2" xfId="0" applyFont="1" applyFill="1" applyBorder="1" applyAlignment="1">
      <alignment vertical="center"/>
    </xf>
    <xf numFmtId="170" fontId="18" fillId="5" borderId="3" xfId="0" applyNumberFormat="1" applyFont="1" applyFill="1" applyBorder="1" applyAlignment="1">
      <alignment horizontal="left" vertical="center"/>
    </xf>
    <xf numFmtId="14" fontId="14" fillId="0" borderId="0" xfId="0" applyNumberFormat="1" applyFont="1" applyAlignment="1">
      <alignment horizontal="center"/>
    </xf>
    <xf numFmtId="173" fontId="14" fillId="0" borderId="0" xfId="0" applyNumberFormat="1" applyFont="1" applyAlignment="1">
      <alignment horizontal="center"/>
    </xf>
    <xf numFmtId="0" fontId="18" fillId="5" borderId="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/>
    </xf>
    <xf numFmtId="0" fontId="22" fillId="5" borderId="120" xfId="0" applyFont="1" applyFill="1" applyBorder="1" applyAlignment="1">
      <alignment horizontal="left" vertical="center"/>
    </xf>
    <xf numFmtId="0" fontId="22" fillId="5" borderId="63" xfId="0" applyFont="1" applyFill="1" applyBorder="1" applyAlignment="1">
      <alignment horizontal="left" vertical="center"/>
    </xf>
    <xf numFmtId="164" fontId="22" fillId="4" borderId="0" xfId="0" applyNumberFormat="1" applyFont="1" applyFill="1" applyAlignment="1">
      <alignment horizontal="center" vertical="center"/>
    </xf>
    <xf numFmtId="1" fontId="22" fillId="4" borderId="29" xfId="0" applyNumberFormat="1" applyFont="1" applyFill="1" applyBorder="1" applyAlignment="1">
      <alignment horizontal="center" vertical="center"/>
    </xf>
    <xf numFmtId="0" fontId="22" fillId="5" borderId="96" xfId="0" applyFont="1" applyFill="1" applyBorder="1" applyAlignment="1">
      <alignment horizontal="left" vertical="center"/>
    </xf>
    <xf numFmtId="0" fontId="22" fillId="5" borderId="116" xfId="0" applyFont="1" applyFill="1" applyBorder="1" applyAlignment="1">
      <alignment horizontal="left" vertical="center"/>
    </xf>
    <xf numFmtId="2" fontId="22" fillId="2" borderId="119" xfId="0" applyNumberFormat="1" applyFont="1" applyFill="1" applyBorder="1" applyAlignment="1">
      <alignment horizontal="center" vertical="center"/>
    </xf>
    <xf numFmtId="164" fontId="22" fillId="2" borderId="121" xfId="0" applyNumberFormat="1" applyFont="1" applyFill="1" applyBorder="1" applyAlignment="1">
      <alignment horizontal="center" vertical="center"/>
    </xf>
    <xf numFmtId="1" fontId="22" fillId="2" borderId="119" xfId="0" applyNumberFormat="1" applyFont="1" applyFill="1" applyBorder="1" applyAlignment="1">
      <alignment horizontal="center" vertical="center"/>
    </xf>
    <xf numFmtId="1" fontId="22" fillId="2" borderId="117" xfId="0" applyNumberFormat="1" applyFont="1" applyFill="1" applyBorder="1" applyAlignment="1">
      <alignment horizontal="center" vertical="center"/>
    </xf>
    <xf numFmtId="164" fontId="59" fillId="4" borderId="0" xfId="0" applyNumberFormat="1" applyFont="1" applyFill="1" applyAlignment="1">
      <alignment horizontal="center" vertical="top"/>
    </xf>
    <xf numFmtId="1" fontId="18" fillId="5" borderId="7" xfId="0" applyNumberFormat="1" applyFont="1" applyFill="1" applyBorder="1" applyAlignment="1">
      <alignment horizontal="center" vertical="center"/>
    </xf>
    <xf numFmtId="0" fontId="17" fillId="5" borderId="123" xfId="0" applyFont="1" applyFill="1" applyBorder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8" fillId="5" borderId="122" xfId="0" applyFont="1" applyFill="1" applyBorder="1" applyAlignment="1">
      <alignment vertical="center"/>
    </xf>
    <xf numFmtId="0" fontId="18" fillId="5" borderId="21" xfId="0" applyFont="1" applyFill="1" applyBorder="1" applyAlignment="1">
      <alignment vertical="center"/>
    </xf>
    <xf numFmtId="0" fontId="18" fillId="5" borderId="21" xfId="0" applyFont="1" applyFill="1" applyBorder="1" applyAlignment="1">
      <alignment horizontal="center" vertical="center"/>
    </xf>
    <xf numFmtId="170" fontId="18" fillId="5" borderId="64" xfId="0" applyNumberFormat="1" applyFont="1" applyFill="1" applyBorder="1" applyAlignment="1">
      <alignment horizontal="left" vertical="center"/>
    </xf>
    <xf numFmtId="0" fontId="51" fillId="4" borderId="86" xfId="0" applyFont="1" applyFill="1" applyBorder="1" applyAlignment="1">
      <alignment vertical="center"/>
    </xf>
    <xf numFmtId="0" fontId="16" fillId="4" borderId="93" xfId="0" applyFont="1" applyFill="1" applyBorder="1" applyAlignment="1">
      <alignment horizontal="center" vertical="center"/>
    </xf>
    <xf numFmtId="0" fontId="60" fillId="4" borderId="21" xfId="0" applyFont="1" applyFill="1" applyBorder="1" applyAlignment="1">
      <alignment vertical="center"/>
    </xf>
    <xf numFmtId="0" fontId="60" fillId="4" borderId="0" xfId="0" applyFont="1" applyFill="1" applyAlignment="1">
      <alignment vertical="center"/>
    </xf>
    <xf numFmtId="1" fontId="18" fillId="4" borderId="114" xfId="0" applyNumberFormat="1" applyFont="1" applyFill="1" applyBorder="1" applyAlignment="1">
      <alignment horizontal="center" vertical="center"/>
    </xf>
    <xf numFmtId="2" fontId="18" fillId="4" borderId="114" xfId="0" applyNumberFormat="1" applyFont="1" applyFill="1" applyBorder="1" applyAlignment="1">
      <alignment horizontal="center" vertical="center"/>
    </xf>
    <xf numFmtId="1" fontId="18" fillId="4" borderId="124" xfId="0" applyNumberFormat="1" applyFont="1" applyFill="1" applyBorder="1" applyAlignment="1">
      <alignment horizontal="center" vertical="center"/>
    </xf>
    <xf numFmtId="0" fontId="18" fillId="6" borderId="112" xfId="0" applyFont="1" applyFill="1" applyBorder="1" applyAlignment="1">
      <alignment horizontal="center" vertical="center"/>
    </xf>
    <xf numFmtId="170" fontId="45" fillId="11" borderId="32" xfId="0" applyNumberFormat="1" applyFont="1" applyFill="1" applyBorder="1" applyAlignment="1">
      <alignment horizontal="left" vertical="center"/>
    </xf>
    <xf numFmtId="0" fontId="46" fillId="11" borderId="21" xfId="0" applyFont="1" applyFill="1" applyBorder="1" applyAlignment="1">
      <alignment vertical="center"/>
    </xf>
    <xf numFmtId="0" fontId="45" fillId="11" borderId="21" xfId="0" applyFont="1" applyFill="1" applyBorder="1" applyAlignment="1">
      <alignment vertical="center"/>
    </xf>
    <xf numFmtId="0" fontId="18" fillId="6" borderId="77" xfId="0" applyFont="1" applyFill="1" applyBorder="1" applyAlignment="1">
      <alignment horizontal="center" vertical="center"/>
    </xf>
    <xf numFmtId="0" fontId="45" fillId="11" borderId="63" xfId="0" applyFont="1" applyFill="1" applyBorder="1" applyAlignment="1">
      <alignment vertical="center"/>
    </xf>
    <xf numFmtId="0" fontId="22" fillId="5" borderId="129" xfId="0" applyFont="1" applyFill="1" applyBorder="1" applyAlignment="1">
      <alignment vertical="center"/>
    </xf>
    <xf numFmtId="0" fontId="17" fillId="5" borderId="93" xfId="0" applyFont="1" applyFill="1" applyBorder="1" applyAlignment="1">
      <alignment vertical="center"/>
    </xf>
    <xf numFmtId="0" fontId="22" fillId="5" borderId="85" xfId="0" applyFont="1" applyFill="1" applyBorder="1" applyAlignment="1">
      <alignment horizontal="center" vertical="center"/>
    </xf>
    <xf numFmtId="0" fontId="22" fillId="5" borderId="130" xfId="0" applyFont="1" applyFill="1" applyBorder="1" applyAlignment="1">
      <alignment horizontal="center" vertical="center"/>
    </xf>
    <xf numFmtId="164" fontId="22" fillId="4" borderId="119" xfId="0" applyNumberFormat="1" applyFont="1" applyFill="1" applyBorder="1" applyAlignment="1">
      <alignment horizontal="center" vertical="center"/>
    </xf>
    <xf numFmtId="0" fontId="22" fillId="5" borderId="127" xfId="0" applyFont="1" applyFill="1" applyBorder="1" applyAlignment="1">
      <alignment horizontal="center" vertical="center"/>
    </xf>
    <xf numFmtId="0" fontId="22" fillId="5" borderId="39" xfId="0" applyFont="1" applyFill="1" applyBorder="1" applyAlignment="1">
      <alignment horizontal="center" vertical="center"/>
    </xf>
    <xf numFmtId="1" fontId="22" fillId="2" borderId="134" xfId="0" applyNumberFormat="1" applyFont="1" applyFill="1" applyBorder="1" applyAlignment="1">
      <alignment horizontal="center" vertical="center"/>
    </xf>
    <xf numFmtId="14" fontId="22" fillId="5" borderId="39" xfId="0" applyNumberFormat="1" applyFont="1" applyFill="1" applyBorder="1" applyAlignment="1">
      <alignment horizontal="center" vertical="center"/>
    </xf>
    <xf numFmtId="0" fontId="17" fillId="3" borderId="98" xfId="0" applyFont="1" applyFill="1" applyBorder="1" applyAlignment="1" applyProtection="1">
      <alignment horizontal="center" vertical="center"/>
      <protection locked="0"/>
    </xf>
    <xf numFmtId="0" fontId="17" fillId="5" borderId="77" xfId="0" applyFont="1" applyFill="1" applyBorder="1" applyAlignment="1">
      <alignment horizontal="center" vertical="center"/>
    </xf>
    <xf numFmtId="0" fontId="17" fillId="3" borderId="76" xfId="0" applyFont="1" applyFill="1" applyBorder="1" applyAlignment="1" applyProtection="1">
      <alignment horizontal="center" vertical="center"/>
      <protection locked="0"/>
    </xf>
    <xf numFmtId="0" fontId="17" fillId="3" borderId="36" xfId="0" applyFont="1" applyFill="1" applyBorder="1" applyAlignment="1" applyProtection="1">
      <alignment horizontal="center" vertical="center"/>
      <protection locked="0"/>
    </xf>
    <xf numFmtId="0" fontId="18" fillId="6" borderId="86" xfId="0" applyFont="1" applyFill="1" applyBorder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164" fontId="18" fillId="6" borderId="29" xfId="0" applyNumberFormat="1" applyFont="1" applyFill="1" applyBorder="1" applyAlignment="1">
      <alignment horizontal="left" vertical="center"/>
    </xf>
    <xf numFmtId="170" fontId="18" fillId="6" borderId="29" xfId="0" applyNumberFormat="1" applyFont="1" applyFill="1" applyBorder="1" applyAlignment="1">
      <alignment horizontal="left" vertical="center"/>
    </xf>
    <xf numFmtId="0" fontId="17" fillId="6" borderId="21" xfId="0" applyFont="1" applyFill="1" applyBorder="1" applyAlignment="1">
      <alignment vertical="center"/>
    </xf>
    <xf numFmtId="170" fontId="18" fillId="6" borderId="32" xfId="0" applyNumberFormat="1" applyFont="1" applyFill="1" applyBorder="1" applyAlignment="1">
      <alignment horizontal="left" vertical="center"/>
    </xf>
    <xf numFmtId="0" fontId="16" fillId="6" borderId="86" xfId="0" applyFont="1" applyFill="1" applyBorder="1" applyAlignment="1">
      <alignment vertical="center"/>
    </xf>
    <xf numFmtId="0" fontId="16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8" fillId="6" borderId="63" xfId="0" applyFont="1" applyFill="1" applyBorder="1" applyAlignment="1">
      <alignment vertical="center"/>
    </xf>
    <xf numFmtId="0" fontId="18" fillId="6" borderId="21" xfId="0" applyFont="1" applyFill="1" applyBorder="1" applyAlignment="1">
      <alignment vertical="center"/>
    </xf>
    <xf numFmtId="0" fontId="16" fillId="6" borderId="87" xfId="0" applyFont="1" applyFill="1" applyBorder="1" applyAlignment="1">
      <alignment vertical="center"/>
    </xf>
    <xf numFmtId="0" fontId="16" fillId="6" borderId="36" xfId="0" applyFont="1" applyFill="1" applyBorder="1" applyAlignment="1">
      <alignment vertical="center"/>
    </xf>
    <xf numFmtId="164" fontId="18" fillId="6" borderId="80" xfId="0" applyNumberFormat="1" applyFont="1" applyFill="1" applyBorder="1" applyAlignment="1">
      <alignment horizontal="left" vertical="center"/>
    </xf>
    <xf numFmtId="0" fontId="16" fillId="6" borderId="133" xfId="0" applyFont="1" applyFill="1" applyBorder="1" applyAlignment="1">
      <alignment vertical="center"/>
    </xf>
    <xf numFmtId="0" fontId="17" fillId="6" borderId="61" xfId="0" applyFont="1" applyFill="1" applyBorder="1" applyAlignment="1">
      <alignment vertical="center"/>
    </xf>
    <xf numFmtId="2" fontId="18" fillId="3" borderId="77" xfId="0" applyNumberFormat="1" applyFont="1" applyFill="1" applyBorder="1" applyAlignment="1" applyProtection="1">
      <alignment horizontal="center" vertical="center"/>
      <protection locked="0"/>
    </xf>
    <xf numFmtId="0" fontId="18" fillId="5" borderId="4" xfId="0" applyFont="1" applyFill="1" applyBorder="1" applyAlignment="1">
      <alignment vertical="center"/>
    </xf>
    <xf numFmtId="0" fontId="18" fillId="5" borderId="0" xfId="0" applyFont="1" applyFill="1" applyAlignment="1">
      <alignment vertical="center"/>
    </xf>
    <xf numFmtId="0" fontId="18" fillId="3" borderId="77" xfId="0" applyFont="1" applyFill="1" applyBorder="1" applyAlignment="1" applyProtection="1">
      <alignment horizontal="center" vertical="center"/>
      <protection locked="0"/>
    </xf>
    <xf numFmtId="1" fontId="18" fillId="5" borderId="0" xfId="0" applyNumberFormat="1" applyFont="1" applyFill="1" applyAlignment="1">
      <alignment horizontal="center" vertical="center"/>
    </xf>
    <xf numFmtId="0" fontId="16" fillId="4" borderId="136" xfId="0" applyFont="1" applyFill="1" applyBorder="1" applyAlignment="1">
      <alignment horizontal="center" vertical="center"/>
    </xf>
    <xf numFmtId="0" fontId="27" fillId="4" borderId="0" xfId="0" applyFont="1" applyFill="1"/>
    <xf numFmtId="166" fontId="18" fillId="5" borderId="137" xfId="0" applyNumberFormat="1" applyFont="1" applyFill="1" applyBorder="1" applyAlignment="1">
      <alignment horizontal="center" vertical="center"/>
    </xf>
    <xf numFmtId="172" fontId="62" fillId="4" borderId="114" xfId="0" applyNumberFormat="1" applyFont="1" applyFill="1" applyBorder="1" applyAlignment="1">
      <alignment horizontal="center" vertical="center"/>
    </xf>
    <xf numFmtId="172" fontId="62" fillId="4" borderId="124" xfId="0" applyNumberFormat="1" applyFont="1" applyFill="1" applyBorder="1" applyAlignment="1">
      <alignment horizontal="center" vertical="center"/>
    </xf>
    <xf numFmtId="1" fontId="17" fillId="5" borderId="112" xfId="0" applyNumberFormat="1" applyFont="1" applyFill="1" applyBorder="1" applyAlignment="1">
      <alignment horizontal="center" vertical="center"/>
    </xf>
    <xf numFmtId="0" fontId="22" fillId="5" borderId="112" xfId="0" applyFont="1" applyFill="1" applyBorder="1" applyAlignment="1">
      <alignment vertical="center"/>
    </xf>
    <xf numFmtId="0" fontId="17" fillId="0" borderId="36" xfId="0" applyFont="1" applyBorder="1" applyAlignment="1">
      <alignment vertical="center"/>
    </xf>
    <xf numFmtId="4" fontId="14" fillId="0" borderId="0" xfId="0" applyNumberFormat="1" applyFont="1" applyAlignment="1">
      <alignment horizontal="left" vertical="center"/>
    </xf>
    <xf numFmtId="1" fontId="14" fillId="0" borderId="29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25" fillId="0" borderId="23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22" fillId="3" borderId="23" xfId="0" applyFont="1" applyFill="1" applyBorder="1" applyAlignment="1" applyProtection="1">
      <alignment horizontal="center" vertical="center"/>
      <protection locked="0"/>
    </xf>
    <xf numFmtId="14" fontId="22" fillId="3" borderId="23" xfId="0" applyNumberFormat="1" applyFont="1" applyFill="1" applyBorder="1" applyAlignment="1" applyProtection="1">
      <alignment horizontal="center" vertical="center"/>
      <protection locked="0"/>
    </xf>
    <xf numFmtId="3" fontId="22" fillId="3" borderId="23" xfId="0" applyNumberFormat="1" applyFont="1" applyFill="1" applyBorder="1" applyAlignment="1" applyProtection="1">
      <alignment horizontal="center" vertical="center"/>
      <protection locked="0"/>
    </xf>
    <xf numFmtId="2" fontId="22" fillId="2" borderId="140" xfId="0" applyNumberFormat="1" applyFont="1" applyFill="1" applyBorder="1" applyAlignment="1">
      <alignment horizontal="center" vertical="center"/>
    </xf>
    <xf numFmtId="2" fontId="22" fillId="2" borderId="141" xfId="0" applyNumberFormat="1" applyFont="1" applyFill="1" applyBorder="1" applyAlignment="1">
      <alignment horizontal="center" vertical="center"/>
    </xf>
    <xf numFmtId="0" fontId="47" fillId="4" borderId="21" xfId="0" applyFont="1" applyFill="1" applyBorder="1" applyAlignment="1">
      <alignment horizontal="center" vertical="center"/>
    </xf>
    <xf numFmtId="1" fontId="22" fillId="2" borderId="140" xfId="0" applyNumberFormat="1" applyFont="1" applyFill="1" applyBorder="1" applyAlignment="1">
      <alignment horizontal="center" vertical="center"/>
    </xf>
    <xf numFmtId="1" fontId="22" fillId="2" borderId="141" xfId="0" applyNumberFormat="1" applyFont="1" applyFill="1" applyBorder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168" fontId="22" fillId="0" borderId="0" xfId="0" applyNumberFormat="1" applyFont="1" applyAlignment="1">
      <alignment horizontal="left"/>
    </xf>
    <xf numFmtId="0" fontId="17" fillId="0" borderId="142" xfId="0" applyFont="1" applyBorder="1"/>
    <xf numFmtId="0" fontId="14" fillId="0" borderId="142" xfId="0" applyFont="1" applyBorder="1"/>
    <xf numFmtId="0" fontId="14" fillId="0" borderId="142" xfId="0" applyFont="1" applyBorder="1" applyAlignment="1">
      <alignment horizontal="left"/>
    </xf>
    <xf numFmtId="168" fontId="17" fillId="0" borderId="142" xfId="0" applyNumberFormat="1" applyFont="1" applyBorder="1" applyAlignment="1">
      <alignment horizontal="left"/>
    </xf>
    <xf numFmtId="0" fontId="17" fillId="0" borderId="142" xfId="0" applyFont="1" applyBorder="1" applyAlignment="1">
      <alignment horizontal="left"/>
    </xf>
    <xf numFmtId="0" fontId="14" fillId="0" borderId="86" xfId="0" applyFont="1" applyBorder="1" applyAlignment="1">
      <alignment horizontal="center"/>
    </xf>
    <xf numFmtId="0" fontId="14" fillId="0" borderId="87" xfId="0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4" fillId="0" borderId="143" xfId="0" applyFont="1" applyBorder="1"/>
    <xf numFmtId="0" fontId="14" fillId="0" borderId="144" xfId="0" applyFont="1" applyBorder="1"/>
    <xf numFmtId="2" fontId="14" fillId="0" borderId="144" xfId="0" applyNumberFormat="1" applyFont="1" applyBorder="1" applyAlignment="1">
      <alignment horizontal="center"/>
    </xf>
    <xf numFmtId="0" fontId="14" fillId="0" borderId="145" xfId="0" applyFont="1" applyBorder="1"/>
    <xf numFmtId="0" fontId="14" fillId="0" borderId="144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172" fontId="62" fillId="4" borderId="139" xfId="0" applyNumberFormat="1" applyFont="1" applyFill="1" applyBorder="1" applyAlignment="1">
      <alignment horizontal="center" vertical="center"/>
    </xf>
    <xf numFmtId="172" fontId="62" fillId="4" borderId="130" xfId="0" applyNumberFormat="1" applyFont="1" applyFill="1" applyBorder="1" applyAlignment="1">
      <alignment horizontal="center" vertical="center"/>
    </xf>
    <xf numFmtId="0" fontId="21" fillId="6" borderId="148" xfId="0" applyFont="1" applyFill="1" applyBorder="1" applyAlignment="1">
      <alignment vertical="center"/>
    </xf>
    <xf numFmtId="1" fontId="21" fillId="6" borderId="113" xfId="0" applyNumberFormat="1" applyFont="1" applyFill="1" applyBorder="1" applyAlignment="1">
      <alignment horizontal="center" vertical="center"/>
    </xf>
    <xf numFmtId="0" fontId="16" fillId="6" borderId="77" xfId="0" applyFont="1" applyFill="1" applyBorder="1" applyAlignment="1">
      <alignment horizontal="center" vertical="center"/>
    </xf>
    <xf numFmtId="1" fontId="18" fillId="6" borderId="77" xfId="0" applyNumberFormat="1" applyFont="1" applyFill="1" applyBorder="1" applyAlignment="1">
      <alignment horizontal="center" vertical="center"/>
    </xf>
    <xf numFmtId="0" fontId="17" fillId="5" borderId="114" xfId="0" applyFont="1" applyFill="1" applyBorder="1" applyAlignment="1">
      <alignment vertical="center"/>
    </xf>
    <xf numFmtId="2" fontId="18" fillId="6" borderId="77" xfId="0" applyNumberFormat="1" applyFont="1" applyFill="1" applyBorder="1" applyAlignment="1">
      <alignment horizontal="center" vertical="center"/>
    </xf>
    <xf numFmtId="2" fontId="18" fillId="6" borderId="114" xfId="0" applyNumberFormat="1" applyFont="1" applyFill="1" applyBorder="1" applyAlignment="1">
      <alignment horizontal="center" vertical="center"/>
    </xf>
    <xf numFmtId="1" fontId="18" fillId="6" borderId="114" xfId="0" applyNumberFormat="1" applyFont="1" applyFill="1" applyBorder="1" applyAlignment="1">
      <alignment horizontal="center" vertical="center"/>
    </xf>
    <xf numFmtId="0" fontId="18" fillId="5" borderId="112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2" fontId="62" fillId="4" borderId="114" xfId="0" applyNumberFormat="1" applyFont="1" applyFill="1" applyBorder="1" applyAlignment="1">
      <alignment horizontal="center" vertical="center"/>
    </xf>
    <xf numFmtId="2" fontId="62" fillId="4" borderId="124" xfId="0" applyNumberFormat="1" applyFont="1" applyFill="1" applyBorder="1" applyAlignment="1">
      <alignment horizontal="center" vertical="center"/>
    </xf>
    <xf numFmtId="172" fontId="62" fillId="4" borderId="149" xfId="0" applyNumberFormat="1" applyFont="1" applyFill="1" applyBorder="1" applyAlignment="1">
      <alignment horizontal="center" vertical="center"/>
    </xf>
    <xf numFmtId="0" fontId="17" fillId="5" borderId="77" xfId="0" applyFont="1" applyFill="1" applyBorder="1" applyAlignment="1">
      <alignment vertical="center"/>
    </xf>
    <xf numFmtId="167" fontId="21" fillId="0" borderId="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7" fontId="36" fillId="0" borderId="5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8" fillId="6" borderId="150" xfId="0" applyFont="1" applyFill="1" applyBorder="1" applyAlignment="1">
      <alignment horizontal="center" vertical="center"/>
    </xf>
    <xf numFmtId="0" fontId="18" fillId="6" borderId="107" xfId="0" applyFont="1" applyFill="1" applyBorder="1" applyAlignment="1">
      <alignment horizontal="center" vertical="center"/>
    </xf>
    <xf numFmtId="0" fontId="17" fillId="5" borderId="107" xfId="0" applyFont="1" applyFill="1" applyBorder="1" applyAlignment="1">
      <alignment vertical="center"/>
    </xf>
    <xf numFmtId="0" fontId="17" fillId="5" borderId="151" xfId="0" applyFont="1" applyFill="1" applyBorder="1" applyAlignment="1">
      <alignment vertical="center"/>
    </xf>
    <xf numFmtId="0" fontId="17" fillId="0" borderId="39" xfId="0" applyFont="1" applyBorder="1" applyAlignment="1">
      <alignment vertical="center"/>
    </xf>
    <xf numFmtId="168" fontId="17" fillId="0" borderId="0" xfId="0" applyNumberFormat="1" applyFont="1" applyAlignment="1">
      <alignment horizontal="center"/>
    </xf>
    <xf numFmtId="0" fontId="17" fillId="3" borderId="124" xfId="0" applyFont="1" applyFill="1" applyBorder="1" applyAlignment="1" applyProtection="1">
      <alignment horizontal="center" vertical="center"/>
      <protection locked="0"/>
    </xf>
    <xf numFmtId="0" fontId="64" fillId="4" borderId="0" xfId="1" applyFont="1" applyFill="1" applyAlignment="1">
      <alignment vertical="center"/>
    </xf>
    <xf numFmtId="10" fontId="1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0" xfId="0" applyFont="1"/>
    <xf numFmtId="2" fontId="2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39" fillId="0" borderId="103" xfId="0" applyNumberFormat="1" applyFont="1" applyBorder="1" applyAlignment="1">
      <alignment horizontal="center" vertical="center"/>
    </xf>
    <xf numFmtId="1" fontId="39" fillId="0" borderId="105" xfId="0" applyNumberFormat="1" applyFont="1" applyBorder="1" applyAlignment="1">
      <alignment horizontal="center" vertical="center"/>
    </xf>
    <xf numFmtId="1" fontId="39" fillId="0" borderId="106" xfId="0" applyNumberFormat="1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" fontId="39" fillId="0" borderId="103" xfId="0" applyNumberFormat="1" applyFont="1" applyBorder="1" applyAlignment="1">
      <alignment horizontal="center" vertical="center"/>
    </xf>
    <xf numFmtId="0" fontId="39" fillId="0" borderId="108" xfId="0" applyFont="1" applyBorder="1" applyAlignment="1">
      <alignment horizontal="center" vertical="center"/>
    </xf>
    <xf numFmtId="0" fontId="25" fillId="3" borderId="23" xfId="0" applyFont="1" applyFill="1" applyBorder="1" applyAlignment="1">
      <alignment horizontal="center"/>
    </xf>
    <xf numFmtId="0" fontId="16" fillId="0" borderId="0" xfId="0" applyFont="1"/>
    <xf numFmtId="0" fontId="16" fillId="2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109" xfId="0" applyFont="1" applyFill="1" applyBorder="1" applyAlignment="1">
      <alignment horizontal="center"/>
    </xf>
    <xf numFmtId="0" fontId="25" fillId="0" borderId="93" xfId="0" applyFont="1" applyBorder="1" applyAlignment="1">
      <alignment horizontal="left"/>
    </xf>
    <xf numFmtId="0" fontId="25" fillId="0" borderId="94" xfId="0" applyFont="1" applyBorder="1" applyAlignment="1">
      <alignment horizontal="left"/>
    </xf>
    <xf numFmtId="0" fontId="25" fillId="0" borderId="96" xfId="0" applyFont="1" applyBorder="1" applyAlignment="1">
      <alignment horizontal="left"/>
    </xf>
    <xf numFmtId="0" fontId="25" fillId="0" borderId="7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5" fillId="0" borderId="133" xfId="0" applyFont="1" applyBorder="1" applyAlignment="1">
      <alignment horizontal="left"/>
    </xf>
    <xf numFmtId="0" fontId="25" fillId="0" borderId="99" xfId="0" applyFont="1" applyBorder="1" applyAlignment="1">
      <alignment horizontal="left"/>
    </xf>
    <xf numFmtId="0" fontId="16" fillId="0" borderId="8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8" fillId="3" borderId="23" xfId="0" applyFont="1" applyFill="1" applyBorder="1" applyAlignment="1" applyProtection="1">
      <alignment horizontal="center" vertical="center"/>
      <protection locked="0"/>
    </xf>
    <xf numFmtId="164" fontId="22" fillId="2" borderId="119" xfId="0" applyNumberFormat="1" applyFont="1" applyFill="1" applyBorder="1" applyAlignment="1">
      <alignment horizontal="center" vertical="center"/>
    </xf>
    <xf numFmtId="49" fontId="22" fillId="5" borderId="152" xfId="0" applyNumberFormat="1" applyFont="1" applyFill="1" applyBorder="1" applyAlignment="1">
      <alignment horizontal="left" vertical="center"/>
    </xf>
    <xf numFmtId="49" fontId="22" fillId="5" borderId="111" xfId="0" applyNumberFormat="1" applyFont="1" applyFill="1" applyBorder="1" applyAlignment="1">
      <alignment horizontal="left" vertical="center"/>
    </xf>
    <xf numFmtId="49" fontId="22" fillId="5" borderId="123" xfId="0" applyNumberFormat="1" applyFont="1" applyFill="1" applyBorder="1" applyAlignment="1">
      <alignment horizontal="left" vertical="center"/>
    </xf>
    <xf numFmtId="164" fontId="22" fillId="4" borderId="36" xfId="0" applyNumberFormat="1" applyFont="1" applyFill="1" applyBorder="1" applyAlignment="1">
      <alignment horizontal="center" vertical="center"/>
    </xf>
    <xf numFmtId="164" fontId="22" fillId="4" borderId="139" xfId="0" applyNumberFormat="1" applyFont="1" applyFill="1" applyBorder="1" applyAlignment="1">
      <alignment horizontal="center" vertical="center"/>
    </xf>
    <xf numFmtId="10" fontId="14" fillId="0" borderId="0" xfId="0" applyNumberFormat="1" applyFont="1" applyAlignment="1">
      <alignment horizontal="center"/>
    </xf>
    <xf numFmtId="164" fontId="59" fillId="4" borderId="149" xfId="0" applyNumberFormat="1" applyFont="1" applyFill="1" applyBorder="1" applyAlignment="1">
      <alignment horizontal="center" vertical="top"/>
    </xf>
    <xf numFmtId="0" fontId="16" fillId="4" borderId="0" xfId="0" applyFont="1" applyFill="1" applyAlignment="1">
      <alignment vertical="center"/>
    </xf>
    <xf numFmtId="0" fontId="16" fillId="0" borderId="85" xfId="0" applyFont="1" applyBorder="1" applyAlignment="1">
      <alignment vertical="center"/>
    </xf>
    <xf numFmtId="0" fontId="16" fillId="0" borderId="39" xfId="0" applyFont="1" applyBorder="1" applyAlignment="1">
      <alignment horizontal="center" vertical="center"/>
    </xf>
    <xf numFmtId="0" fontId="16" fillId="0" borderId="39" xfId="0" applyFont="1" applyBorder="1" applyAlignment="1">
      <alignment vertical="center"/>
    </xf>
    <xf numFmtId="0" fontId="16" fillId="0" borderId="5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8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6" xfId="0" applyFont="1" applyBorder="1" applyAlignment="1">
      <alignment vertical="center"/>
    </xf>
    <xf numFmtId="0" fontId="16" fillId="0" borderId="80" xfId="0" applyFont="1" applyBorder="1" applyAlignment="1">
      <alignment vertical="center"/>
    </xf>
    <xf numFmtId="1" fontId="16" fillId="0" borderId="29" xfId="0" applyNumberFormat="1" applyFont="1" applyBorder="1" applyAlignment="1">
      <alignment horizontal="center" vertical="center"/>
    </xf>
    <xf numFmtId="0" fontId="25" fillId="0" borderId="86" xfId="0" applyFont="1" applyBorder="1" applyAlignment="1">
      <alignment vertical="center"/>
    </xf>
    <xf numFmtId="0" fontId="25" fillId="0" borderId="0" xfId="0" applyFont="1" applyAlignment="1">
      <alignment vertical="center"/>
    </xf>
    <xf numFmtId="3" fontId="16" fillId="0" borderId="29" xfId="0" applyNumberFormat="1" applyFont="1" applyBorder="1" applyAlignment="1">
      <alignment horizontal="center" vertical="center"/>
    </xf>
    <xf numFmtId="4" fontId="16" fillId="0" borderId="29" xfId="0" applyNumberFormat="1" applyFont="1" applyBorder="1" applyAlignment="1">
      <alignment horizontal="center" vertical="center"/>
    </xf>
    <xf numFmtId="0" fontId="16" fillId="0" borderId="87" xfId="0" applyFont="1" applyBorder="1" applyAlignment="1">
      <alignment vertical="center"/>
    </xf>
    <xf numFmtId="0" fontId="29" fillId="0" borderId="0" xfId="0" applyFont="1"/>
    <xf numFmtId="1" fontId="65" fillId="0" borderId="0" xfId="0" applyNumberFormat="1" applyFont="1" applyAlignment="1">
      <alignment horizontal="center" vertical="center"/>
    </xf>
    <xf numFmtId="0" fontId="66" fillId="2" borderId="83" xfId="0" applyFont="1" applyFill="1" applyBorder="1" applyAlignment="1">
      <alignment horizontal="center" vertical="center"/>
    </xf>
    <xf numFmtId="170" fontId="67" fillId="5" borderId="101" xfId="0" applyNumberFormat="1" applyFont="1" applyFill="1" applyBorder="1" applyAlignment="1">
      <alignment horizontal="center" vertical="center"/>
    </xf>
    <xf numFmtId="0" fontId="24" fillId="2" borderId="61" xfId="0" applyFont="1" applyFill="1" applyBorder="1" applyAlignment="1">
      <alignment horizontal="center" vertical="center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12" fillId="0" borderId="33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7" fillId="0" borderId="54" xfId="0" applyFont="1" applyBorder="1" applyAlignment="1">
      <alignment horizontal="center" vertical="top" wrapText="1"/>
    </xf>
    <xf numFmtId="0" fontId="7" fillId="0" borderId="60" xfId="0" applyFont="1" applyBorder="1" applyAlignment="1">
      <alignment horizontal="center" vertical="top" wrapText="1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12" fillId="0" borderId="57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left" vertical="center"/>
    </xf>
    <xf numFmtId="0" fontId="22" fillId="5" borderId="128" xfId="0" applyFont="1" applyFill="1" applyBorder="1" applyAlignment="1">
      <alignment horizontal="center" vertical="center"/>
    </xf>
    <xf numFmtId="0" fontId="22" fillId="5" borderId="95" xfId="0" applyFont="1" applyFill="1" applyBorder="1" applyAlignment="1">
      <alignment horizontal="center" vertical="center"/>
    </xf>
    <xf numFmtId="0" fontId="60" fillId="4" borderId="21" xfId="0" applyFont="1" applyFill="1" applyBorder="1" applyAlignment="1">
      <alignment horizontal="left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/>
    </xf>
    <xf numFmtId="0" fontId="22" fillId="3" borderId="22" xfId="0" applyFont="1" applyFill="1" applyBorder="1" applyAlignment="1" applyProtection="1">
      <alignment horizontal="center" vertical="center"/>
      <protection locked="0"/>
    </xf>
    <xf numFmtId="0" fontId="22" fillId="3" borderId="24" xfId="0" applyFont="1" applyFill="1" applyBorder="1" applyAlignment="1" applyProtection="1">
      <alignment horizontal="center" vertical="center"/>
      <protection locked="0"/>
    </xf>
    <xf numFmtId="0" fontId="62" fillId="4" borderId="85" xfId="0" applyFont="1" applyFill="1" applyBorder="1" applyAlignment="1">
      <alignment horizontal="center" vertical="center"/>
    </xf>
    <xf numFmtId="0" fontId="62" fillId="4" borderId="147" xfId="0" applyFont="1" applyFill="1" applyBorder="1" applyAlignment="1">
      <alignment horizontal="center" vertical="center"/>
    </xf>
    <xf numFmtId="0" fontId="62" fillId="4" borderId="96" xfId="0" applyFont="1" applyFill="1" applyBorder="1" applyAlignment="1">
      <alignment horizontal="center" vertical="center"/>
    </xf>
    <xf numFmtId="0" fontId="62" fillId="4" borderId="25" xfId="0" applyFont="1" applyFill="1" applyBorder="1" applyAlignment="1">
      <alignment horizontal="center" vertical="center"/>
    </xf>
    <xf numFmtId="0" fontId="62" fillId="4" borderId="87" xfId="0" applyFont="1" applyFill="1" applyBorder="1" applyAlignment="1">
      <alignment horizontal="center" vertical="center"/>
    </xf>
    <xf numFmtId="0" fontId="62" fillId="4" borderId="146" xfId="0" applyFont="1" applyFill="1" applyBorder="1" applyAlignment="1">
      <alignment horizontal="center" vertical="center"/>
    </xf>
    <xf numFmtId="0" fontId="21" fillId="6" borderId="127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106" xfId="0" applyFont="1" applyFill="1" applyBorder="1" applyAlignment="1">
      <alignment horizontal="left" vertical="center"/>
    </xf>
    <xf numFmtId="0" fontId="18" fillId="4" borderId="96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5" borderId="85" xfId="0" applyFont="1" applyFill="1" applyBorder="1" applyAlignment="1">
      <alignment horizontal="center" vertical="center"/>
    </xf>
    <xf numFmtId="0" fontId="18" fillId="5" borderId="39" xfId="0" applyFont="1" applyFill="1" applyBorder="1" applyAlignment="1">
      <alignment horizontal="center" vertical="center"/>
    </xf>
    <xf numFmtId="0" fontId="18" fillId="5" borderId="50" xfId="0" applyFont="1" applyFill="1" applyBorder="1" applyAlignment="1">
      <alignment horizontal="center" vertical="center"/>
    </xf>
    <xf numFmtId="0" fontId="18" fillId="5" borderId="63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5" borderId="32" xfId="0" applyFont="1" applyFill="1" applyBorder="1" applyAlignment="1">
      <alignment horizontal="center" vertical="center"/>
    </xf>
    <xf numFmtId="0" fontId="18" fillId="5" borderId="131" xfId="0" applyFont="1" applyFill="1" applyBorder="1" applyAlignment="1">
      <alignment horizontal="center" vertical="center"/>
    </xf>
    <xf numFmtId="0" fontId="18" fillId="5" borderId="61" xfId="0" applyFont="1" applyFill="1" applyBorder="1" applyAlignment="1">
      <alignment horizontal="center" vertical="center"/>
    </xf>
    <xf numFmtId="0" fontId="18" fillId="5" borderId="132" xfId="0" applyFont="1" applyFill="1" applyBorder="1" applyAlignment="1">
      <alignment horizontal="center" vertical="center"/>
    </xf>
    <xf numFmtId="0" fontId="62" fillId="4" borderId="133" xfId="0" applyFont="1" applyFill="1" applyBorder="1" applyAlignment="1">
      <alignment horizontal="center" vertical="center"/>
    </xf>
    <xf numFmtId="0" fontId="62" fillId="4" borderId="135" xfId="0" applyFont="1" applyFill="1" applyBorder="1" applyAlignment="1">
      <alignment horizontal="center" vertical="center"/>
    </xf>
    <xf numFmtId="165" fontId="65" fillId="0" borderId="4" xfId="0" applyNumberFormat="1" applyFont="1" applyBorder="1" applyAlignment="1">
      <alignment horizontal="center" vertical="center"/>
    </xf>
    <xf numFmtId="165" fontId="65" fillId="0" borderId="0" xfId="0" applyNumberFormat="1" applyFont="1" applyAlignment="1">
      <alignment horizontal="center" vertical="center"/>
    </xf>
    <xf numFmtId="2" fontId="31" fillId="0" borderId="16" xfId="0" applyNumberFormat="1" applyFont="1" applyBorder="1" applyAlignment="1">
      <alignment horizontal="center" vertical="center"/>
    </xf>
    <xf numFmtId="2" fontId="31" fillId="0" borderId="84" xfId="0" applyNumberFormat="1" applyFont="1" applyBorder="1" applyAlignment="1">
      <alignment horizontal="center" vertical="center"/>
    </xf>
    <xf numFmtId="2" fontId="31" fillId="5" borderId="84" xfId="0" applyNumberFormat="1" applyFont="1" applyFill="1" applyBorder="1" applyAlignment="1">
      <alignment horizontal="center" vertical="center"/>
    </xf>
    <xf numFmtId="2" fontId="31" fillId="5" borderId="91" xfId="0" applyNumberFormat="1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164" fontId="18" fillId="5" borderId="21" xfId="0" applyNumberFormat="1" applyFont="1" applyFill="1" applyBorder="1" applyAlignment="1">
      <alignment horizontal="center" vertical="center"/>
    </xf>
    <xf numFmtId="2" fontId="65" fillId="0" borderId="7" xfId="0" applyNumberFormat="1" applyFont="1" applyBorder="1" applyAlignment="1">
      <alignment horizontal="center" vertical="center"/>
    </xf>
    <xf numFmtId="0" fontId="65" fillId="0" borderId="7" xfId="0" applyFont="1" applyBorder="1" applyAlignment="1">
      <alignment horizontal="center" vertical="center"/>
    </xf>
    <xf numFmtId="0" fontId="65" fillId="0" borderId="8" xfId="0" applyFont="1" applyBorder="1" applyAlignment="1">
      <alignment horizontal="center" vertical="center"/>
    </xf>
    <xf numFmtId="0" fontId="68" fillId="3" borderId="1" xfId="0" applyFont="1" applyFill="1" applyBorder="1" applyAlignment="1">
      <alignment horizontal="center" vertical="center"/>
    </xf>
    <xf numFmtId="0" fontId="68" fillId="3" borderId="2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68" fillId="3" borderId="4" xfId="0" applyFont="1" applyFill="1" applyBorder="1" applyAlignment="1">
      <alignment horizontal="center" vertical="center"/>
    </xf>
    <xf numFmtId="0" fontId="68" fillId="3" borderId="0" xfId="0" applyFont="1" applyFill="1" applyAlignment="1">
      <alignment horizontal="center" vertical="center"/>
    </xf>
    <xf numFmtId="0" fontId="68" fillId="3" borderId="5" xfId="0" applyFont="1" applyFill="1" applyBorder="1" applyAlignment="1">
      <alignment horizontal="center" vertical="center"/>
    </xf>
    <xf numFmtId="0" fontId="24" fillId="2" borderId="70" xfId="0" applyFont="1" applyFill="1" applyBorder="1" applyAlignment="1">
      <alignment horizontal="center" vertical="center"/>
    </xf>
    <xf numFmtId="0" fontId="24" fillId="2" borderId="61" xfId="0" applyFont="1" applyFill="1" applyBorder="1" applyAlignment="1">
      <alignment horizontal="center" vertical="center"/>
    </xf>
    <xf numFmtId="0" fontId="31" fillId="2" borderId="81" xfId="0" applyFont="1" applyFill="1" applyBorder="1" applyAlignment="1">
      <alignment horizontal="center" vertical="center"/>
    </xf>
    <xf numFmtId="0" fontId="31" fillId="2" borderId="82" xfId="0" applyFont="1" applyFill="1" applyBorder="1" applyAlignment="1">
      <alignment horizontal="center" vertical="center"/>
    </xf>
    <xf numFmtId="1" fontId="31" fillId="5" borderId="84" xfId="0" applyNumberFormat="1" applyFont="1" applyFill="1" applyBorder="1" applyAlignment="1">
      <alignment horizontal="center" vertical="center"/>
    </xf>
    <xf numFmtId="1" fontId="31" fillId="5" borderId="91" xfId="0" applyNumberFormat="1" applyFont="1" applyFill="1" applyBorder="1" applyAlignment="1">
      <alignment horizontal="center" vertical="center"/>
    </xf>
    <xf numFmtId="0" fontId="31" fillId="2" borderId="90" xfId="0" applyFont="1" applyFill="1" applyBorder="1" applyAlignment="1">
      <alignment horizontal="center" vertical="center"/>
    </xf>
    <xf numFmtId="0" fontId="24" fillId="2" borderId="62" xfId="0" applyFont="1" applyFill="1" applyBorder="1" applyAlignment="1">
      <alignment horizontal="center" vertical="center"/>
    </xf>
    <xf numFmtId="2" fontId="31" fillId="5" borderId="16" xfId="0" applyNumberFormat="1" applyFont="1" applyFill="1" applyBorder="1" applyAlignment="1">
      <alignment horizontal="center" vertical="center"/>
    </xf>
    <xf numFmtId="0" fontId="65" fillId="0" borderId="122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64" xfId="0" applyFont="1" applyBorder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66" fillId="2" borderId="88" xfId="0" applyFont="1" applyFill="1" applyBorder="1" applyAlignment="1">
      <alignment horizontal="center" vertical="center" wrapText="1"/>
    </xf>
    <xf numFmtId="0" fontId="66" fillId="2" borderId="89" xfId="0" applyFont="1" applyFill="1" applyBorder="1" applyAlignment="1">
      <alignment horizontal="center" vertical="center" wrapText="1"/>
    </xf>
    <xf numFmtId="0" fontId="66" fillId="2" borderId="14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13" xfId="0" applyFont="1" applyFill="1" applyBorder="1" applyAlignment="1">
      <alignment horizontal="center" vertical="center"/>
    </xf>
    <xf numFmtId="0" fontId="66" fillId="2" borderId="10" xfId="0" applyFont="1" applyFill="1" applyBorder="1" applyAlignment="1">
      <alignment horizontal="center" vertical="center" wrapText="1"/>
    </xf>
    <xf numFmtId="0" fontId="66" fillId="2" borderId="13" xfId="0" applyFont="1" applyFill="1" applyBorder="1" applyAlignment="1">
      <alignment horizontal="center" vertical="center" wrapText="1"/>
    </xf>
    <xf numFmtId="0" fontId="66" fillId="2" borderId="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4" borderId="126" xfId="0" applyFont="1" applyFill="1" applyBorder="1" applyAlignment="1">
      <alignment horizontal="center" vertical="center"/>
    </xf>
    <xf numFmtId="0" fontId="21" fillId="4" borderId="125" xfId="0" applyFont="1" applyFill="1" applyBorder="1" applyAlignment="1">
      <alignment horizontal="center" vertical="center"/>
    </xf>
    <xf numFmtId="0" fontId="18" fillId="4" borderId="133" xfId="0" applyFont="1" applyFill="1" applyBorder="1" applyAlignment="1">
      <alignment horizontal="center" vertical="center"/>
    </xf>
    <xf numFmtId="0" fontId="18" fillId="4" borderId="135" xfId="0" applyFont="1" applyFill="1" applyBorder="1" applyAlignment="1">
      <alignment horizontal="center" vertical="center"/>
    </xf>
    <xf numFmtId="0" fontId="62" fillId="5" borderId="85" xfId="0" applyFont="1" applyFill="1" applyBorder="1" applyAlignment="1">
      <alignment horizontal="center" vertical="center"/>
    </xf>
    <xf numFmtId="0" fontId="62" fillId="5" borderId="39" xfId="0" applyFont="1" applyFill="1" applyBorder="1" applyAlignment="1">
      <alignment horizontal="center" vertical="center"/>
    </xf>
    <xf numFmtId="0" fontId="62" fillId="5" borderId="50" xfId="0" applyFont="1" applyFill="1" applyBorder="1" applyAlignment="1">
      <alignment horizontal="center" vertical="center"/>
    </xf>
    <xf numFmtId="0" fontId="62" fillId="5" borderId="63" xfId="0" applyFont="1" applyFill="1" applyBorder="1" applyAlignment="1">
      <alignment horizontal="center" vertical="center"/>
    </xf>
    <xf numFmtId="0" fontId="62" fillId="5" borderId="21" xfId="0" applyFont="1" applyFill="1" applyBorder="1" applyAlignment="1">
      <alignment horizontal="center" vertical="center"/>
    </xf>
    <xf numFmtId="0" fontId="62" fillId="5" borderId="32" xfId="0" applyFont="1" applyFill="1" applyBorder="1" applyAlignment="1">
      <alignment horizontal="center" vertical="center"/>
    </xf>
    <xf numFmtId="2" fontId="31" fillId="5" borderId="72" xfId="0" applyNumberFormat="1" applyFont="1" applyFill="1" applyBorder="1" applyAlignment="1">
      <alignment horizontal="center" vertical="center"/>
    </xf>
    <xf numFmtId="2" fontId="31" fillId="5" borderId="65" xfId="0" applyNumberFormat="1" applyFont="1" applyFill="1" applyBorder="1" applyAlignment="1">
      <alignment horizontal="center" vertical="center"/>
    </xf>
    <xf numFmtId="2" fontId="31" fillId="5" borderId="26" xfId="0" applyNumberFormat="1" applyFont="1" applyFill="1" applyBorder="1" applyAlignment="1">
      <alignment horizontal="center" vertical="center"/>
    </xf>
    <xf numFmtId="170" fontId="62" fillId="4" borderId="133" xfId="0" applyNumberFormat="1" applyFont="1" applyFill="1" applyBorder="1" applyAlignment="1">
      <alignment horizontal="center" vertical="center"/>
    </xf>
    <xf numFmtId="170" fontId="62" fillId="4" borderId="99" xfId="0" applyNumberFormat="1" applyFont="1" applyFill="1" applyBorder="1" applyAlignment="1">
      <alignment horizontal="center" vertical="center"/>
    </xf>
    <xf numFmtId="170" fontId="62" fillId="4" borderId="118" xfId="0" applyNumberFormat="1" applyFont="1" applyFill="1" applyBorder="1" applyAlignment="1">
      <alignment horizontal="center" vertical="center"/>
    </xf>
    <xf numFmtId="0" fontId="62" fillId="4" borderId="86" xfId="0" applyFont="1" applyFill="1" applyBorder="1" applyAlignment="1">
      <alignment horizontal="center" vertical="center"/>
    </xf>
    <xf numFmtId="0" fontId="62" fillId="4" borderId="106" xfId="0" applyFont="1" applyFill="1" applyBorder="1" applyAlignment="1">
      <alignment horizontal="center" vertical="center"/>
    </xf>
    <xf numFmtId="170" fontId="62" fillId="4" borderId="96" xfId="0" applyNumberFormat="1" applyFont="1" applyFill="1" applyBorder="1" applyAlignment="1">
      <alignment horizontal="left" vertical="center"/>
    </xf>
    <xf numFmtId="170" fontId="62" fillId="4" borderId="76" xfId="0" applyNumberFormat="1" applyFont="1" applyFill="1" applyBorder="1" applyAlignment="1">
      <alignment horizontal="left" vertical="center"/>
    </xf>
    <xf numFmtId="170" fontId="62" fillId="4" borderId="87" xfId="0" applyNumberFormat="1" applyFont="1" applyFill="1" applyBorder="1" applyAlignment="1">
      <alignment horizontal="left" vertical="center"/>
    </xf>
    <xf numFmtId="170" fontId="62" fillId="4" borderId="36" xfId="0" applyNumberFormat="1" applyFont="1" applyFill="1" applyBorder="1" applyAlignment="1">
      <alignment horizontal="left" vertical="center"/>
    </xf>
    <xf numFmtId="171" fontId="65" fillId="0" borderId="4" xfId="0" applyNumberFormat="1" applyFont="1" applyBorder="1" applyAlignment="1">
      <alignment horizontal="center" vertical="center"/>
    </xf>
    <xf numFmtId="171" fontId="65" fillId="0" borderId="0" xfId="0" applyNumberFormat="1" applyFont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109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25" fillId="0" borderId="86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09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173" fontId="37" fillId="0" borderId="85" xfId="0" applyNumberFormat="1" applyFont="1" applyBorder="1" applyAlignment="1">
      <alignment horizontal="center"/>
    </xf>
    <xf numFmtId="173" fontId="37" fillId="0" borderId="39" xfId="0" applyNumberFormat="1" applyFont="1" applyBorder="1" applyAlignment="1">
      <alignment horizontal="center"/>
    </xf>
    <xf numFmtId="173" fontId="37" fillId="0" borderId="50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55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DCD1"/>
      <color rgb="FFFF7C80"/>
      <color rgb="FFFFC7CE"/>
      <color rgb="FFFFC7D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666751</xdr:colOff>
      <xdr:row>101</xdr:row>
      <xdr:rowOff>196778</xdr:rowOff>
    </xdr:from>
    <xdr:to>
      <xdr:col>17</xdr:col>
      <xdr:colOff>44449</xdr:colOff>
      <xdr:row>105</xdr:row>
      <xdr:rowOff>28646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91601" y="20666003"/>
          <a:ext cx="2997198" cy="62244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49D369A-E4CC-4965-8BAC-420CA795F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EC43FF2-F969-47FD-B209-827C0C36B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4C646D4-427E-42F8-B2B8-0F8793414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4EFE80E-0DD4-4570-B05C-FF018295F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60E4E41-D71F-4BB5-9351-CCC941157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2DAA465-30B9-4D9D-98DD-E07E8AE6B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F35F3C-EF66-42C5-91C9-990FECF5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585FEC8-B0F4-4B0A-B2F7-7222DD033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EC84631-C9B9-4466-93D8-BFBF0A5B2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5</xdr:row>
          <xdr:rowOff>12700</xdr:rowOff>
        </xdr:from>
        <xdr:to>
          <xdr:col>1</xdr:col>
          <xdr:colOff>495300</xdr:colOff>
          <xdr:row>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9</xdr:row>
          <xdr:rowOff>12700</xdr:rowOff>
        </xdr:from>
        <xdr:to>
          <xdr:col>1</xdr:col>
          <xdr:colOff>495300</xdr:colOff>
          <xdr:row>11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342899</xdr:colOff>
      <xdr:row>0</xdr:row>
      <xdr:rowOff>142874</xdr:rowOff>
    </xdr:from>
    <xdr:to>
      <xdr:col>5</xdr:col>
      <xdr:colOff>1838324</xdr:colOff>
      <xdr:row>12</xdr:row>
      <xdr:rowOff>9524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7A0D5C3-7AD9-6F9B-3F5E-A8A549800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49" y="142874"/>
          <a:ext cx="1495425" cy="1495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F127F9-1E7D-4FCE-9ED0-642EFA5F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59B3C38-5BEC-4FAB-9C62-7F668F574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79F7BA9-F34D-48AC-9D21-9E9FCB7AD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D6F1A2E-690E-459F-A760-E6C81E8D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795358</xdr:colOff>
      <xdr:row>3</xdr:row>
      <xdr:rowOff>40225</xdr:rowOff>
    </xdr:from>
    <xdr:to>
      <xdr:col>18</xdr:col>
      <xdr:colOff>1724024</xdr:colOff>
      <xdr:row>7</xdr:row>
      <xdr:rowOff>70752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455B4C-2734-40AC-84EE-3516B35DC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5233" y="440275"/>
          <a:ext cx="3357541" cy="697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alathea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chard.graf@wienkav.at" TargetMode="External"/><Relationship Id="rId2" Type="http://schemas.openxmlformats.org/officeDocument/2006/relationships/hyperlink" Target="mailto:harald.mauler@wienkav.at" TargetMode="External"/><Relationship Id="rId1" Type="http://schemas.openxmlformats.org/officeDocument/2006/relationships/hyperlink" Target="mailto:michi.graf@chello.at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aekwien.at/wiener-gesundheitsverbund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0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F8C3-14C9-4141-A367-50F0A3B0BBCC}">
  <dimension ref="B2:M104"/>
  <sheetViews>
    <sheetView showRowColHeaders="0" tabSelected="1" workbookViewId="0">
      <selection activeCell="B104" sqref="B104"/>
    </sheetView>
  </sheetViews>
  <sheetFormatPr baseColWidth="10" defaultColWidth="10.83203125" defaultRowHeight="15"/>
  <cols>
    <col min="1" max="1" width="5.5" style="166" customWidth="1"/>
    <col min="2" max="16384" width="10.83203125" style="166"/>
  </cols>
  <sheetData>
    <row r="2" spans="2:9" ht="21">
      <c r="B2" s="167" t="s">
        <v>447</v>
      </c>
      <c r="C2" s="167"/>
    </row>
    <row r="3" spans="2:9" ht="15" customHeight="1">
      <c r="B3" s="167"/>
      <c r="C3" s="167"/>
    </row>
    <row r="4" spans="2:9" ht="15" customHeight="1">
      <c r="B4" s="159" t="s">
        <v>448</v>
      </c>
      <c r="C4" s="167"/>
    </row>
    <row r="5" spans="2:9" ht="15" customHeight="1">
      <c r="B5" s="159"/>
      <c r="C5" s="167"/>
    </row>
    <row r="6" spans="2:9" ht="15" customHeight="1">
      <c r="B6" s="159" t="s">
        <v>421</v>
      </c>
      <c r="C6" s="167"/>
    </row>
    <row r="7" spans="2:9" ht="15" customHeight="1">
      <c r="B7" s="159" t="s">
        <v>414</v>
      </c>
      <c r="C7" s="167"/>
    </row>
    <row r="8" spans="2:9" ht="15" customHeight="1">
      <c r="B8" s="159" t="s">
        <v>415</v>
      </c>
      <c r="C8" s="167"/>
    </row>
    <row r="9" spans="2:9" ht="15" customHeight="1">
      <c r="B9" s="159" t="s">
        <v>422</v>
      </c>
      <c r="C9" s="167"/>
      <c r="I9" s="430" t="s">
        <v>418</v>
      </c>
    </row>
    <row r="10" spans="2:9" ht="15" customHeight="1">
      <c r="B10" s="159" t="s">
        <v>423</v>
      </c>
      <c r="C10" s="167"/>
    </row>
    <row r="11" spans="2:9" ht="15" customHeight="1">
      <c r="B11" s="159"/>
      <c r="C11" s="167"/>
    </row>
    <row r="12" spans="2:9" ht="15" customHeight="1">
      <c r="B12" s="159" t="s">
        <v>434</v>
      </c>
      <c r="C12" s="167"/>
    </row>
    <row r="13" spans="2:9" ht="15" customHeight="1">
      <c r="B13" s="159" t="s">
        <v>416</v>
      </c>
      <c r="C13" s="167"/>
    </row>
    <row r="14" spans="2:9" ht="15" customHeight="1">
      <c r="B14" s="159" t="s">
        <v>417</v>
      </c>
      <c r="C14" s="167"/>
    </row>
    <row r="15" spans="2:9" ht="21">
      <c r="C15" s="167"/>
    </row>
    <row r="16" spans="2:9" ht="21">
      <c r="B16" s="168" t="s">
        <v>158</v>
      </c>
      <c r="C16" s="167"/>
    </row>
    <row r="18" spans="2:2" ht="16">
      <c r="B18" s="159" t="s">
        <v>301</v>
      </c>
    </row>
    <row r="19" spans="2:2" ht="16">
      <c r="B19" s="159" t="s">
        <v>302</v>
      </c>
    </row>
    <row r="20" spans="2:2" ht="16">
      <c r="B20" s="169" t="s">
        <v>303</v>
      </c>
    </row>
    <row r="21" spans="2:2" ht="16">
      <c r="B21" s="169"/>
    </row>
    <row r="22" spans="2:2" ht="16">
      <c r="B22" s="159" t="s">
        <v>75</v>
      </c>
    </row>
    <row r="23" spans="2:2" ht="16">
      <c r="B23" s="159" t="s">
        <v>135</v>
      </c>
    </row>
    <row r="24" spans="2:2" ht="16">
      <c r="B24" s="159" t="s">
        <v>304</v>
      </c>
    </row>
    <row r="25" spans="2:2" ht="16">
      <c r="B25" s="159" t="s">
        <v>136</v>
      </c>
    </row>
    <row r="26" spans="2:2" ht="16">
      <c r="B26" s="159"/>
    </row>
    <row r="27" spans="2:2" ht="16">
      <c r="B27" s="159" t="s">
        <v>305</v>
      </c>
    </row>
    <row r="28" spans="2:2" ht="16">
      <c r="B28" s="159" t="s">
        <v>306</v>
      </c>
    </row>
    <row r="29" spans="2:2" ht="16">
      <c r="B29" s="159" t="s">
        <v>185</v>
      </c>
    </row>
    <row r="30" spans="2:2" s="173" customFormat="1" ht="16">
      <c r="B30" s="169" t="s">
        <v>424</v>
      </c>
    </row>
    <row r="31" spans="2:2" ht="16">
      <c r="B31" s="169" t="s">
        <v>186</v>
      </c>
    </row>
    <row r="33" spans="2:13" s="159" customFormat="1" ht="16">
      <c r="B33" s="169" t="s">
        <v>307</v>
      </c>
    </row>
    <row r="34" spans="2:13" ht="16">
      <c r="B34" s="169" t="s">
        <v>308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</row>
    <row r="35" spans="2:13" ht="16">
      <c r="B35" s="169" t="s">
        <v>309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</row>
    <row r="36" spans="2:13" ht="16"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</row>
    <row r="37" spans="2:13" ht="18" customHeight="1">
      <c r="B37" s="159" t="s">
        <v>187</v>
      </c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</row>
    <row r="38" spans="2:13" ht="16"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</row>
    <row r="39" spans="2:13" ht="16">
      <c r="B39" s="159" t="s">
        <v>188</v>
      </c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</row>
    <row r="40" spans="2:13" ht="16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</row>
    <row r="41" spans="2:13" ht="16">
      <c r="B41" s="159"/>
      <c r="C41" s="170" t="s">
        <v>16</v>
      </c>
      <c r="D41" s="170" t="s">
        <v>66</v>
      </c>
      <c r="E41" s="170"/>
      <c r="F41" s="170"/>
      <c r="G41" s="170"/>
      <c r="H41" s="170" t="s">
        <v>125</v>
      </c>
      <c r="I41" s="170" t="s">
        <v>419</v>
      </c>
      <c r="J41" s="170"/>
      <c r="K41" s="170"/>
      <c r="L41" s="171" t="s">
        <v>18</v>
      </c>
      <c r="M41" s="170" t="s">
        <v>112</v>
      </c>
    </row>
    <row r="42" spans="2:13" ht="16">
      <c r="B42" s="159"/>
      <c r="C42" s="171" t="s">
        <v>138</v>
      </c>
      <c r="D42" s="170" t="s">
        <v>139</v>
      </c>
      <c r="E42" s="170"/>
      <c r="G42" s="170"/>
      <c r="H42" s="171" t="s">
        <v>21</v>
      </c>
      <c r="I42" s="170" t="s">
        <v>126</v>
      </c>
      <c r="J42" s="170"/>
      <c r="L42" s="170" t="s">
        <v>23</v>
      </c>
      <c r="M42" s="170" t="s">
        <v>24</v>
      </c>
    </row>
    <row r="43" spans="2:13" ht="16">
      <c r="C43" s="170" t="s">
        <v>65</v>
      </c>
      <c r="D43" s="170" t="s">
        <v>68</v>
      </c>
      <c r="E43" s="170"/>
      <c r="F43" s="170"/>
      <c r="H43" s="171" t="s">
        <v>130</v>
      </c>
      <c r="I43" s="170" t="s">
        <v>140</v>
      </c>
      <c r="L43" s="171" t="s">
        <v>22</v>
      </c>
      <c r="M43" s="170" t="s">
        <v>76</v>
      </c>
    </row>
    <row r="44" spans="2:13" ht="18" customHeight="1">
      <c r="C44" s="170" t="s">
        <v>17</v>
      </c>
      <c r="D44" s="170" t="s">
        <v>70</v>
      </c>
      <c r="E44" s="170"/>
      <c r="F44" s="170"/>
      <c r="G44" s="172"/>
      <c r="H44" s="171" t="s">
        <v>279</v>
      </c>
      <c r="I44" s="170" t="s">
        <v>310</v>
      </c>
      <c r="J44" s="170"/>
      <c r="L44" s="171" t="s">
        <v>69</v>
      </c>
      <c r="M44" s="170" t="s">
        <v>117</v>
      </c>
    </row>
    <row r="45" spans="2:13" ht="16">
      <c r="C45" s="170" t="s">
        <v>120</v>
      </c>
      <c r="D45" s="170" t="s">
        <v>122</v>
      </c>
      <c r="E45" s="170"/>
      <c r="F45" s="170"/>
      <c r="G45" s="172"/>
      <c r="L45" s="170"/>
      <c r="M45" s="170"/>
    </row>
    <row r="47" spans="2:13" ht="16">
      <c r="B47" s="159" t="s">
        <v>189</v>
      </c>
    </row>
    <row r="49" spans="2:3" ht="16">
      <c r="B49" s="173"/>
      <c r="C49" s="170" t="s">
        <v>190</v>
      </c>
    </row>
    <row r="50" spans="2:3" ht="16">
      <c r="B50" s="173"/>
      <c r="C50" s="171" t="s">
        <v>191</v>
      </c>
    </row>
    <row r="51" spans="2:3" ht="16">
      <c r="B51" s="173"/>
      <c r="C51" s="171" t="s">
        <v>425</v>
      </c>
    </row>
    <row r="52" spans="2:3" ht="18" customHeight="1">
      <c r="B52" s="173"/>
      <c r="C52" s="171" t="s">
        <v>192</v>
      </c>
    </row>
    <row r="53" spans="2:3" ht="16">
      <c r="B53" s="173"/>
      <c r="C53" s="171" t="s">
        <v>193</v>
      </c>
    </row>
    <row r="54" spans="2:3" ht="16">
      <c r="B54" s="173"/>
      <c r="C54" s="171" t="s">
        <v>194</v>
      </c>
    </row>
    <row r="55" spans="2:3" ht="16">
      <c r="B55" s="173"/>
      <c r="C55" s="171" t="s">
        <v>195</v>
      </c>
    </row>
    <row r="56" spans="2:3" ht="16">
      <c r="B56" s="173"/>
    </row>
    <row r="57" spans="2:3" ht="18" customHeight="1">
      <c r="B57" s="159" t="s">
        <v>196</v>
      </c>
    </row>
    <row r="58" spans="2:3" ht="18" customHeight="1">
      <c r="B58" s="159"/>
    </row>
    <row r="59" spans="2:3" ht="16">
      <c r="B59" s="159"/>
      <c r="C59" s="171" t="s">
        <v>197</v>
      </c>
    </row>
    <row r="60" spans="2:3" ht="16">
      <c r="B60" s="159"/>
      <c r="C60" s="171" t="s">
        <v>198</v>
      </c>
    </row>
    <row r="61" spans="2:3" ht="16">
      <c r="B61" s="173"/>
    </row>
    <row r="62" spans="2:3" s="159" customFormat="1" ht="16">
      <c r="B62" s="159" t="s">
        <v>199</v>
      </c>
      <c r="C62" s="173"/>
    </row>
    <row r="63" spans="2:3" s="159" customFormat="1" ht="16">
      <c r="C63" s="173"/>
    </row>
    <row r="64" spans="2:3" s="159" customFormat="1" ht="16">
      <c r="C64" s="171" t="s">
        <v>200</v>
      </c>
    </row>
    <row r="66" spans="2:2" s="159" customFormat="1" ht="16">
      <c r="B66" s="159" t="s">
        <v>311</v>
      </c>
    </row>
    <row r="67" spans="2:2" ht="16">
      <c r="B67" s="159"/>
    </row>
    <row r="68" spans="2:2" ht="19">
      <c r="B68" s="168" t="s">
        <v>159</v>
      </c>
    </row>
    <row r="69" spans="2:2" ht="16">
      <c r="B69" s="159"/>
    </row>
    <row r="70" spans="2:2" ht="16">
      <c r="B70" s="159" t="s">
        <v>426</v>
      </c>
    </row>
    <row r="71" spans="2:2" ht="16">
      <c r="B71" s="159" t="s">
        <v>427</v>
      </c>
    </row>
    <row r="72" spans="2:2" ht="16">
      <c r="B72" s="159" t="s">
        <v>312</v>
      </c>
    </row>
    <row r="73" spans="2:2" ht="16">
      <c r="B73" s="159" t="s">
        <v>428</v>
      </c>
    </row>
    <row r="74" spans="2:2" ht="16">
      <c r="B74" s="159" t="s">
        <v>313</v>
      </c>
    </row>
    <row r="75" spans="2:2" ht="16">
      <c r="B75" s="159" t="s">
        <v>314</v>
      </c>
    </row>
    <row r="76" spans="2:2" ht="16">
      <c r="B76" s="159" t="s">
        <v>315</v>
      </c>
    </row>
    <row r="77" spans="2:2" ht="16">
      <c r="B77" s="159" t="s">
        <v>316</v>
      </c>
    </row>
    <row r="78" spans="2:2" ht="16">
      <c r="B78" s="159" t="s">
        <v>201</v>
      </c>
    </row>
    <row r="79" spans="2:2" ht="16">
      <c r="B79" s="159" t="s">
        <v>202</v>
      </c>
    </row>
    <row r="81" spans="2:2" ht="19">
      <c r="B81" s="168" t="s">
        <v>160</v>
      </c>
    </row>
    <row r="82" spans="2:2" ht="16">
      <c r="B82" s="159"/>
    </row>
    <row r="83" spans="2:2" ht="16">
      <c r="B83" s="159" t="s">
        <v>449</v>
      </c>
    </row>
    <row r="84" spans="2:2" ht="16">
      <c r="B84" s="159" t="s">
        <v>317</v>
      </c>
    </row>
    <row r="85" spans="2:2" ht="16">
      <c r="B85" s="159" t="s">
        <v>318</v>
      </c>
    </row>
    <row r="86" spans="2:2" ht="16">
      <c r="B86" s="159" t="s">
        <v>319</v>
      </c>
    </row>
    <row r="87" spans="2:2" ht="16">
      <c r="B87" s="159" t="s">
        <v>320</v>
      </c>
    </row>
    <row r="88" spans="2:2" ht="16">
      <c r="B88" s="159" t="s">
        <v>321</v>
      </c>
    </row>
    <row r="89" spans="2:2" ht="16">
      <c r="B89" s="159"/>
    </row>
    <row r="90" spans="2:2" ht="19">
      <c r="B90" s="168" t="s">
        <v>161</v>
      </c>
    </row>
    <row r="91" spans="2:2" ht="16">
      <c r="B91" s="159"/>
    </row>
    <row r="92" spans="2:2" ht="16">
      <c r="B92" s="159" t="s">
        <v>162</v>
      </c>
    </row>
    <row r="93" spans="2:2" ht="16">
      <c r="B93" s="159" t="s">
        <v>203</v>
      </c>
    </row>
    <row r="94" spans="2:2" ht="16">
      <c r="B94" s="159" t="s">
        <v>204</v>
      </c>
    </row>
    <row r="95" spans="2:2" ht="16">
      <c r="B95" s="159" t="s">
        <v>205</v>
      </c>
    </row>
    <row r="97" spans="2:13" ht="16">
      <c r="B97" s="174" t="s">
        <v>163</v>
      </c>
    </row>
    <row r="98" spans="2:13" ht="16">
      <c r="B98" s="159" t="s">
        <v>420</v>
      </c>
    </row>
    <row r="99" spans="2:13" ht="16">
      <c r="B99" s="159"/>
    </row>
    <row r="100" spans="2:13" ht="16">
      <c r="B100" s="159" t="s">
        <v>109</v>
      </c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2:13" ht="16">
      <c r="B101" s="159" t="s">
        <v>206</v>
      </c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2:13" ht="16"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2:13" ht="16"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2:13" ht="16"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211" t="s">
        <v>207</v>
      </c>
    </row>
  </sheetData>
  <sheetProtection algorithmName="SHA-512" hashValue="Bzq9nkoRAaku6s+YxGyxXsxxvEZH1qE0vWlaD+HuvSx42wAh6T/V6uCWg3k0Xih0bA0uUvZPmEhX52WBH0zxiw==" saltValue="6B6T8An/35VZq06nCTiH7w==" spinCount="100000" sheet="1" objects="1" scenarios="1"/>
  <hyperlinks>
    <hyperlink ref="B93" r:id="rId1" display="michi.graf@chello.at" xr:uid="{8F401E41-B4DE-4F69-9FA5-D25CF03EAE93}"/>
    <hyperlink ref="E93" r:id="rId2" display="harald.mauler@wienkav.at" xr:uid="{72927E5A-6AED-4FFA-A620-155EC22E0858}"/>
    <hyperlink ref="K93" r:id="rId3" display="richard.graf@wienkav.at" xr:uid="{384C8045-5357-4E9F-8309-E63EAF3D2EF6}"/>
    <hyperlink ref="I9" r:id="rId4" xr:uid="{95E63C47-9D52-442D-9B98-0AC5BDB57D7E}"/>
  </hyperlinks>
  <pageMargins left="0.7" right="0.7" top="0.78740157499999996" bottom="0.78740157499999996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1" width="11.5" style="54"/>
    <col min="262" max="262" width="0.5" style="54" customWidth="1"/>
    <col min="263" max="263" width="3.1640625" style="54" customWidth="1"/>
    <col min="264" max="264" width="8.83203125" style="54" customWidth="1"/>
    <col min="265" max="265" width="14.83203125" style="54" customWidth="1"/>
    <col min="266" max="267" width="6.5" style="54" customWidth="1"/>
    <col min="268" max="268" width="14.83203125" style="54" customWidth="1"/>
    <col min="269" max="270" width="11.5" style="54" customWidth="1"/>
    <col min="271" max="271" width="6.1640625" style="54" customWidth="1"/>
    <col min="272" max="272" width="22.83203125" style="54" customWidth="1"/>
    <col min="273" max="273" width="11.5" style="54" customWidth="1"/>
    <col min="274" max="274" width="13.83203125" style="54" customWidth="1"/>
    <col min="275" max="275" width="5.83203125" style="54" customWidth="1"/>
    <col min="276" max="276" width="15.5" style="54" customWidth="1"/>
    <col min="277" max="517" width="11.5" style="54"/>
    <col min="518" max="518" width="0.5" style="54" customWidth="1"/>
    <col min="519" max="519" width="3.1640625" style="54" customWidth="1"/>
    <col min="520" max="520" width="8.83203125" style="54" customWidth="1"/>
    <col min="521" max="521" width="14.83203125" style="54" customWidth="1"/>
    <col min="522" max="523" width="6.5" style="54" customWidth="1"/>
    <col min="524" max="524" width="14.83203125" style="54" customWidth="1"/>
    <col min="525" max="526" width="11.5" style="54" customWidth="1"/>
    <col min="527" max="527" width="6.1640625" style="54" customWidth="1"/>
    <col min="528" max="528" width="22.83203125" style="54" customWidth="1"/>
    <col min="529" max="529" width="11.5" style="54" customWidth="1"/>
    <col min="530" max="530" width="13.83203125" style="54" customWidth="1"/>
    <col min="531" max="531" width="5.83203125" style="54" customWidth="1"/>
    <col min="532" max="532" width="15.5" style="54" customWidth="1"/>
    <col min="533" max="773" width="11.5" style="54"/>
    <col min="774" max="774" width="0.5" style="54" customWidth="1"/>
    <col min="775" max="775" width="3.1640625" style="54" customWidth="1"/>
    <col min="776" max="776" width="8.83203125" style="54" customWidth="1"/>
    <col min="777" max="777" width="14.83203125" style="54" customWidth="1"/>
    <col min="778" max="779" width="6.5" style="54" customWidth="1"/>
    <col min="780" max="780" width="14.83203125" style="54" customWidth="1"/>
    <col min="781" max="782" width="11.5" style="54" customWidth="1"/>
    <col min="783" max="783" width="6.1640625" style="54" customWidth="1"/>
    <col min="784" max="784" width="22.83203125" style="54" customWidth="1"/>
    <col min="785" max="785" width="11.5" style="54" customWidth="1"/>
    <col min="786" max="786" width="13.83203125" style="54" customWidth="1"/>
    <col min="787" max="787" width="5.83203125" style="54" customWidth="1"/>
    <col min="788" max="788" width="15.5" style="54" customWidth="1"/>
    <col min="789" max="1029" width="11.5" style="54"/>
    <col min="1030" max="1030" width="0.5" style="54" customWidth="1"/>
    <col min="1031" max="1031" width="3.1640625" style="54" customWidth="1"/>
    <col min="1032" max="1032" width="8.83203125" style="54" customWidth="1"/>
    <col min="1033" max="1033" width="14.83203125" style="54" customWidth="1"/>
    <col min="1034" max="1035" width="6.5" style="54" customWidth="1"/>
    <col min="1036" max="1036" width="14.83203125" style="54" customWidth="1"/>
    <col min="1037" max="1038" width="11.5" style="54" customWidth="1"/>
    <col min="1039" max="1039" width="6.1640625" style="54" customWidth="1"/>
    <col min="1040" max="1040" width="22.83203125" style="54" customWidth="1"/>
    <col min="1041" max="1041" width="11.5" style="54" customWidth="1"/>
    <col min="1042" max="1042" width="13.83203125" style="54" customWidth="1"/>
    <col min="1043" max="1043" width="5.83203125" style="54" customWidth="1"/>
    <col min="1044" max="1044" width="15.5" style="54" customWidth="1"/>
    <col min="1045" max="1285" width="11.5" style="54"/>
    <col min="1286" max="1286" width="0.5" style="54" customWidth="1"/>
    <col min="1287" max="1287" width="3.1640625" style="54" customWidth="1"/>
    <col min="1288" max="1288" width="8.83203125" style="54" customWidth="1"/>
    <col min="1289" max="1289" width="14.83203125" style="54" customWidth="1"/>
    <col min="1290" max="1291" width="6.5" style="54" customWidth="1"/>
    <col min="1292" max="1292" width="14.83203125" style="54" customWidth="1"/>
    <col min="1293" max="1294" width="11.5" style="54" customWidth="1"/>
    <col min="1295" max="1295" width="6.1640625" style="54" customWidth="1"/>
    <col min="1296" max="1296" width="22.83203125" style="54" customWidth="1"/>
    <col min="1297" max="1297" width="11.5" style="54" customWidth="1"/>
    <col min="1298" max="1298" width="13.83203125" style="54" customWidth="1"/>
    <col min="1299" max="1299" width="5.83203125" style="54" customWidth="1"/>
    <col min="1300" max="1300" width="15.5" style="54" customWidth="1"/>
    <col min="1301" max="1541" width="11.5" style="54"/>
    <col min="1542" max="1542" width="0.5" style="54" customWidth="1"/>
    <col min="1543" max="1543" width="3.1640625" style="54" customWidth="1"/>
    <col min="1544" max="1544" width="8.83203125" style="54" customWidth="1"/>
    <col min="1545" max="1545" width="14.83203125" style="54" customWidth="1"/>
    <col min="1546" max="1547" width="6.5" style="54" customWidth="1"/>
    <col min="1548" max="1548" width="14.83203125" style="54" customWidth="1"/>
    <col min="1549" max="1550" width="11.5" style="54" customWidth="1"/>
    <col min="1551" max="1551" width="6.1640625" style="54" customWidth="1"/>
    <col min="1552" max="1552" width="22.83203125" style="54" customWidth="1"/>
    <col min="1553" max="1553" width="11.5" style="54" customWidth="1"/>
    <col min="1554" max="1554" width="13.83203125" style="54" customWidth="1"/>
    <col min="1555" max="1555" width="5.83203125" style="54" customWidth="1"/>
    <col min="1556" max="1556" width="15.5" style="54" customWidth="1"/>
    <col min="1557" max="1797" width="11.5" style="54"/>
    <col min="1798" max="1798" width="0.5" style="54" customWidth="1"/>
    <col min="1799" max="1799" width="3.1640625" style="54" customWidth="1"/>
    <col min="1800" max="1800" width="8.83203125" style="54" customWidth="1"/>
    <col min="1801" max="1801" width="14.83203125" style="54" customWidth="1"/>
    <col min="1802" max="1803" width="6.5" style="54" customWidth="1"/>
    <col min="1804" max="1804" width="14.83203125" style="54" customWidth="1"/>
    <col min="1805" max="1806" width="11.5" style="54" customWidth="1"/>
    <col min="1807" max="1807" width="6.1640625" style="54" customWidth="1"/>
    <col min="1808" max="1808" width="22.83203125" style="54" customWidth="1"/>
    <col min="1809" max="1809" width="11.5" style="54" customWidth="1"/>
    <col min="1810" max="1810" width="13.83203125" style="54" customWidth="1"/>
    <col min="1811" max="1811" width="5.83203125" style="54" customWidth="1"/>
    <col min="1812" max="1812" width="15.5" style="54" customWidth="1"/>
    <col min="1813" max="2053" width="11.5" style="54"/>
    <col min="2054" max="2054" width="0.5" style="54" customWidth="1"/>
    <col min="2055" max="2055" width="3.1640625" style="54" customWidth="1"/>
    <col min="2056" max="2056" width="8.83203125" style="54" customWidth="1"/>
    <col min="2057" max="2057" width="14.83203125" style="54" customWidth="1"/>
    <col min="2058" max="2059" width="6.5" style="54" customWidth="1"/>
    <col min="2060" max="2060" width="14.83203125" style="54" customWidth="1"/>
    <col min="2061" max="2062" width="11.5" style="54" customWidth="1"/>
    <col min="2063" max="2063" width="6.1640625" style="54" customWidth="1"/>
    <col min="2064" max="2064" width="22.83203125" style="54" customWidth="1"/>
    <col min="2065" max="2065" width="11.5" style="54" customWidth="1"/>
    <col min="2066" max="2066" width="13.83203125" style="54" customWidth="1"/>
    <col min="2067" max="2067" width="5.83203125" style="54" customWidth="1"/>
    <col min="2068" max="2068" width="15.5" style="54" customWidth="1"/>
    <col min="2069" max="2309" width="11.5" style="54"/>
    <col min="2310" max="2310" width="0.5" style="54" customWidth="1"/>
    <col min="2311" max="2311" width="3.1640625" style="54" customWidth="1"/>
    <col min="2312" max="2312" width="8.83203125" style="54" customWidth="1"/>
    <col min="2313" max="2313" width="14.83203125" style="54" customWidth="1"/>
    <col min="2314" max="2315" width="6.5" style="54" customWidth="1"/>
    <col min="2316" max="2316" width="14.83203125" style="54" customWidth="1"/>
    <col min="2317" max="2318" width="11.5" style="54" customWidth="1"/>
    <col min="2319" max="2319" width="6.1640625" style="54" customWidth="1"/>
    <col min="2320" max="2320" width="22.83203125" style="54" customWidth="1"/>
    <col min="2321" max="2321" width="11.5" style="54" customWidth="1"/>
    <col min="2322" max="2322" width="13.83203125" style="54" customWidth="1"/>
    <col min="2323" max="2323" width="5.83203125" style="54" customWidth="1"/>
    <col min="2324" max="2324" width="15.5" style="54" customWidth="1"/>
    <col min="2325" max="2565" width="11.5" style="54"/>
    <col min="2566" max="2566" width="0.5" style="54" customWidth="1"/>
    <col min="2567" max="2567" width="3.1640625" style="54" customWidth="1"/>
    <col min="2568" max="2568" width="8.83203125" style="54" customWidth="1"/>
    <col min="2569" max="2569" width="14.83203125" style="54" customWidth="1"/>
    <col min="2570" max="2571" width="6.5" style="54" customWidth="1"/>
    <col min="2572" max="2572" width="14.83203125" style="54" customWidth="1"/>
    <col min="2573" max="2574" width="11.5" style="54" customWidth="1"/>
    <col min="2575" max="2575" width="6.1640625" style="54" customWidth="1"/>
    <col min="2576" max="2576" width="22.83203125" style="54" customWidth="1"/>
    <col min="2577" max="2577" width="11.5" style="54" customWidth="1"/>
    <col min="2578" max="2578" width="13.83203125" style="54" customWidth="1"/>
    <col min="2579" max="2579" width="5.83203125" style="54" customWidth="1"/>
    <col min="2580" max="2580" width="15.5" style="54" customWidth="1"/>
    <col min="2581" max="2821" width="11.5" style="54"/>
    <col min="2822" max="2822" width="0.5" style="54" customWidth="1"/>
    <col min="2823" max="2823" width="3.1640625" style="54" customWidth="1"/>
    <col min="2824" max="2824" width="8.83203125" style="54" customWidth="1"/>
    <col min="2825" max="2825" width="14.83203125" style="54" customWidth="1"/>
    <col min="2826" max="2827" width="6.5" style="54" customWidth="1"/>
    <col min="2828" max="2828" width="14.83203125" style="54" customWidth="1"/>
    <col min="2829" max="2830" width="11.5" style="54" customWidth="1"/>
    <col min="2831" max="2831" width="6.1640625" style="54" customWidth="1"/>
    <col min="2832" max="2832" width="22.83203125" style="54" customWidth="1"/>
    <col min="2833" max="2833" width="11.5" style="54" customWidth="1"/>
    <col min="2834" max="2834" width="13.83203125" style="54" customWidth="1"/>
    <col min="2835" max="2835" width="5.83203125" style="54" customWidth="1"/>
    <col min="2836" max="2836" width="15.5" style="54" customWidth="1"/>
    <col min="2837" max="3077" width="11.5" style="54"/>
    <col min="3078" max="3078" width="0.5" style="54" customWidth="1"/>
    <col min="3079" max="3079" width="3.1640625" style="54" customWidth="1"/>
    <col min="3080" max="3080" width="8.83203125" style="54" customWidth="1"/>
    <col min="3081" max="3081" width="14.83203125" style="54" customWidth="1"/>
    <col min="3082" max="3083" width="6.5" style="54" customWidth="1"/>
    <col min="3084" max="3084" width="14.83203125" style="54" customWidth="1"/>
    <col min="3085" max="3086" width="11.5" style="54" customWidth="1"/>
    <col min="3087" max="3087" width="6.1640625" style="54" customWidth="1"/>
    <col min="3088" max="3088" width="22.83203125" style="54" customWidth="1"/>
    <col min="3089" max="3089" width="11.5" style="54" customWidth="1"/>
    <col min="3090" max="3090" width="13.83203125" style="54" customWidth="1"/>
    <col min="3091" max="3091" width="5.83203125" style="54" customWidth="1"/>
    <col min="3092" max="3092" width="15.5" style="54" customWidth="1"/>
    <col min="3093" max="3333" width="11.5" style="54"/>
    <col min="3334" max="3334" width="0.5" style="54" customWidth="1"/>
    <col min="3335" max="3335" width="3.1640625" style="54" customWidth="1"/>
    <col min="3336" max="3336" width="8.83203125" style="54" customWidth="1"/>
    <col min="3337" max="3337" width="14.83203125" style="54" customWidth="1"/>
    <col min="3338" max="3339" width="6.5" style="54" customWidth="1"/>
    <col min="3340" max="3340" width="14.83203125" style="54" customWidth="1"/>
    <col min="3341" max="3342" width="11.5" style="54" customWidth="1"/>
    <col min="3343" max="3343" width="6.1640625" style="54" customWidth="1"/>
    <col min="3344" max="3344" width="22.83203125" style="54" customWidth="1"/>
    <col min="3345" max="3345" width="11.5" style="54" customWidth="1"/>
    <col min="3346" max="3346" width="13.83203125" style="54" customWidth="1"/>
    <col min="3347" max="3347" width="5.83203125" style="54" customWidth="1"/>
    <col min="3348" max="3348" width="15.5" style="54" customWidth="1"/>
    <col min="3349" max="3589" width="11.5" style="54"/>
    <col min="3590" max="3590" width="0.5" style="54" customWidth="1"/>
    <col min="3591" max="3591" width="3.1640625" style="54" customWidth="1"/>
    <col min="3592" max="3592" width="8.83203125" style="54" customWidth="1"/>
    <col min="3593" max="3593" width="14.83203125" style="54" customWidth="1"/>
    <col min="3594" max="3595" width="6.5" style="54" customWidth="1"/>
    <col min="3596" max="3596" width="14.83203125" style="54" customWidth="1"/>
    <col min="3597" max="3598" width="11.5" style="54" customWidth="1"/>
    <col min="3599" max="3599" width="6.1640625" style="54" customWidth="1"/>
    <col min="3600" max="3600" width="22.83203125" style="54" customWidth="1"/>
    <col min="3601" max="3601" width="11.5" style="54" customWidth="1"/>
    <col min="3602" max="3602" width="13.83203125" style="54" customWidth="1"/>
    <col min="3603" max="3603" width="5.83203125" style="54" customWidth="1"/>
    <col min="3604" max="3604" width="15.5" style="54" customWidth="1"/>
    <col min="3605" max="3845" width="11.5" style="54"/>
    <col min="3846" max="3846" width="0.5" style="54" customWidth="1"/>
    <col min="3847" max="3847" width="3.1640625" style="54" customWidth="1"/>
    <col min="3848" max="3848" width="8.83203125" style="54" customWidth="1"/>
    <col min="3849" max="3849" width="14.83203125" style="54" customWidth="1"/>
    <col min="3850" max="3851" width="6.5" style="54" customWidth="1"/>
    <col min="3852" max="3852" width="14.83203125" style="54" customWidth="1"/>
    <col min="3853" max="3854" width="11.5" style="54" customWidth="1"/>
    <col min="3855" max="3855" width="6.1640625" style="54" customWidth="1"/>
    <col min="3856" max="3856" width="22.83203125" style="54" customWidth="1"/>
    <col min="3857" max="3857" width="11.5" style="54" customWidth="1"/>
    <col min="3858" max="3858" width="13.83203125" style="54" customWidth="1"/>
    <col min="3859" max="3859" width="5.83203125" style="54" customWidth="1"/>
    <col min="3860" max="3860" width="15.5" style="54" customWidth="1"/>
    <col min="3861" max="4101" width="11.5" style="54"/>
    <col min="4102" max="4102" width="0.5" style="54" customWidth="1"/>
    <col min="4103" max="4103" width="3.1640625" style="54" customWidth="1"/>
    <col min="4104" max="4104" width="8.83203125" style="54" customWidth="1"/>
    <col min="4105" max="4105" width="14.83203125" style="54" customWidth="1"/>
    <col min="4106" max="4107" width="6.5" style="54" customWidth="1"/>
    <col min="4108" max="4108" width="14.83203125" style="54" customWidth="1"/>
    <col min="4109" max="4110" width="11.5" style="54" customWidth="1"/>
    <col min="4111" max="4111" width="6.1640625" style="54" customWidth="1"/>
    <col min="4112" max="4112" width="22.83203125" style="54" customWidth="1"/>
    <col min="4113" max="4113" width="11.5" style="54" customWidth="1"/>
    <col min="4114" max="4114" width="13.83203125" style="54" customWidth="1"/>
    <col min="4115" max="4115" width="5.83203125" style="54" customWidth="1"/>
    <col min="4116" max="4116" width="15.5" style="54" customWidth="1"/>
    <col min="4117" max="4357" width="11.5" style="54"/>
    <col min="4358" max="4358" width="0.5" style="54" customWidth="1"/>
    <col min="4359" max="4359" width="3.1640625" style="54" customWidth="1"/>
    <col min="4360" max="4360" width="8.83203125" style="54" customWidth="1"/>
    <col min="4361" max="4361" width="14.83203125" style="54" customWidth="1"/>
    <col min="4362" max="4363" width="6.5" style="54" customWidth="1"/>
    <col min="4364" max="4364" width="14.83203125" style="54" customWidth="1"/>
    <col min="4365" max="4366" width="11.5" style="54" customWidth="1"/>
    <col min="4367" max="4367" width="6.1640625" style="54" customWidth="1"/>
    <col min="4368" max="4368" width="22.83203125" style="54" customWidth="1"/>
    <col min="4369" max="4369" width="11.5" style="54" customWidth="1"/>
    <col min="4370" max="4370" width="13.83203125" style="54" customWidth="1"/>
    <col min="4371" max="4371" width="5.83203125" style="54" customWidth="1"/>
    <col min="4372" max="4372" width="15.5" style="54" customWidth="1"/>
    <col min="4373" max="4613" width="11.5" style="54"/>
    <col min="4614" max="4614" width="0.5" style="54" customWidth="1"/>
    <col min="4615" max="4615" width="3.1640625" style="54" customWidth="1"/>
    <col min="4616" max="4616" width="8.83203125" style="54" customWidth="1"/>
    <col min="4617" max="4617" width="14.83203125" style="54" customWidth="1"/>
    <col min="4618" max="4619" width="6.5" style="54" customWidth="1"/>
    <col min="4620" max="4620" width="14.83203125" style="54" customWidth="1"/>
    <col min="4621" max="4622" width="11.5" style="54" customWidth="1"/>
    <col min="4623" max="4623" width="6.1640625" style="54" customWidth="1"/>
    <col min="4624" max="4624" width="22.83203125" style="54" customWidth="1"/>
    <col min="4625" max="4625" width="11.5" style="54" customWidth="1"/>
    <col min="4626" max="4626" width="13.83203125" style="54" customWidth="1"/>
    <col min="4627" max="4627" width="5.83203125" style="54" customWidth="1"/>
    <col min="4628" max="4628" width="15.5" style="54" customWidth="1"/>
    <col min="4629" max="4869" width="11.5" style="54"/>
    <col min="4870" max="4870" width="0.5" style="54" customWidth="1"/>
    <col min="4871" max="4871" width="3.1640625" style="54" customWidth="1"/>
    <col min="4872" max="4872" width="8.83203125" style="54" customWidth="1"/>
    <col min="4873" max="4873" width="14.83203125" style="54" customWidth="1"/>
    <col min="4874" max="4875" width="6.5" style="54" customWidth="1"/>
    <col min="4876" max="4876" width="14.83203125" style="54" customWidth="1"/>
    <col min="4877" max="4878" width="11.5" style="54" customWidth="1"/>
    <col min="4879" max="4879" width="6.1640625" style="54" customWidth="1"/>
    <col min="4880" max="4880" width="22.83203125" style="54" customWidth="1"/>
    <col min="4881" max="4881" width="11.5" style="54" customWidth="1"/>
    <col min="4882" max="4882" width="13.83203125" style="54" customWidth="1"/>
    <col min="4883" max="4883" width="5.83203125" style="54" customWidth="1"/>
    <col min="4884" max="4884" width="15.5" style="54" customWidth="1"/>
    <col min="4885" max="5125" width="11.5" style="54"/>
    <col min="5126" max="5126" width="0.5" style="54" customWidth="1"/>
    <col min="5127" max="5127" width="3.1640625" style="54" customWidth="1"/>
    <col min="5128" max="5128" width="8.83203125" style="54" customWidth="1"/>
    <col min="5129" max="5129" width="14.83203125" style="54" customWidth="1"/>
    <col min="5130" max="5131" width="6.5" style="54" customWidth="1"/>
    <col min="5132" max="5132" width="14.83203125" style="54" customWidth="1"/>
    <col min="5133" max="5134" width="11.5" style="54" customWidth="1"/>
    <col min="5135" max="5135" width="6.1640625" style="54" customWidth="1"/>
    <col min="5136" max="5136" width="22.83203125" style="54" customWidth="1"/>
    <col min="5137" max="5137" width="11.5" style="54" customWidth="1"/>
    <col min="5138" max="5138" width="13.83203125" style="54" customWidth="1"/>
    <col min="5139" max="5139" width="5.83203125" style="54" customWidth="1"/>
    <col min="5140" max="5140" width="15.5" style="54" customWidth="1"/>
    <col min="5141" max="5381" width="11.5" style="54"/>
    <col min="5382" max="5382" width="0.5" style="54" customWidth="1"/>
    <col min="5383" max="5383" width="3.1640625" style="54" customWidth="1"/>
    <col min="5384" max="5384" width="8.83203125" style="54" customWidth="1"/>
    <col min="5385" max="5385" width="14.83203125" style="54" customWidth="1"/>
    <col min="5386" max="5387" width="6.5" style="54" customWidth="1"/>
    <col min="5388" max="5388" width="14.83203125" style="54" customWidth="1"/>
    <col min="5389" max="5390" width="11.5" style="54" customWidth="1"/>
    <col min="5391" max="5391" width="6.1640625" style="54" customWidth="1"/>
    <col min="5392" max="5392" width="22.83203125" style="54" customWidth="1"/>
    <col min="5393" max="5393" width="11.5" style="54" customWidth="1"/>
    <col min="5394" max="5394" width="13.83203125" style="54" customWidth="1"/>
    <col min="5395" max="5395" width="5.83203125" style="54" customWidth="1"/>
    <col min="5396" max="5396" width="15.5" style="54" customWidth="1"/>
    <col min="5397" max="5637" width="11.5" style="54"/>
    <col min="5638" max="5638" width="0.5" style="54" customWidth="1"/>
    <col min="5639" max="5639" width="3.1640625" style="54" customWidth="1"/>
    <col min="5640" max="5640" width="8.83203125" style="54" customWidth="1"/>
    <col min="5641" max="5641" width="14.83203125" style="54" customWidth="1"/>
    <col min="5642" max="5643" width="6.5" style="54" customWidth="1"/>
    <col min="5644" max="5644" width="14.83203125" style="54" customWidth="1"/>
    <col min="5645" max="5646" width="11.5" style="54" customWidth="1"/>
    <col min="5647" max="5647" width="6.1640625" style="54" customWidth="1"/>
    <col min="5648" max="5648" width="22.83203125" style="54" customWidth="1"/>
    <col min="5649" max="5649" width="11.5" style="54" customWidth="1"/>
    <col min="5650" max="5650" width="13.83203125" style="54" customWidth="1"/>
    <col min="5651" max="5651" width="5.83203125" style="54" customWidth="1"/>
    <col min="5652" max="5652" width="15.5" style="54" customWidth="1"/>
    <col min="5653" max="5893" width="11.5" style="54"/>
    <col min="5894" max="5894" width="0.5" style="54" customWidth="1"/>
    <col min="5895" max="5895" width="3.1640625" style="54" customWidth="1"/>
    <col min="5896" max="5896" width="8.83203125" style="54" customWidth="1"/>
    <col min="5897" max="5897" width="14.83203125" style="54" customWidth="1"/>
    <col min="5898" max="5899" width="6.5" style="54" customWidth="1"/>
    <col min="5900" max="5900" width="14.83203125" style="54" customWidth="1"/>
    <col min="5901" max="5902" width="11.5" style="54" customWidth="1"/>
    <col min="5903" max="5903" width="6.1640625" style="54" customWidth="1"/>
    <col min="5904" max="5904" width="22.83203125" style="54" customWidth="1"/>
    <col min="5905" max="5905" width="11.5" style="54" customWidth="1"/>
    <col min="5906" max="5906" width="13.83203125" style="54" customWidth="1"/>
    <col min="5907" max="5907" width="5.83203125" style="54" customWidth="1"/>
    <col min="5908" max="5908" width="15.5" style="54" customWidth="1"/>
    <col min="5909" max="6149" width="11.5" style="54"/>
    <col min="6150" max="6150" width="0.5" style="54" customWidth="1"/>
    <col min="6151" max="6151" width="3.1640625" style="54" customWidth="1"/>
    <col min="6152" max="6152" width="8.83203125" style="54" customWidth="1"/>
    <col min="6153" max="6153" width="14.83203125" style="54" customWidth="1"/>
    <col min="6154" max="6155" width="6.5" style="54" customWidth="1"/>
    <col min="6156" max="6156" width="14.83203125" style="54" customWidth="1"/>
    <col min="6157" max="6158" width="11.5" style="54" customWidth="1"/>
    <col min="6159" max="6159" width="6.1640625" style="54" customWidth="1"/>
    <col min="6160" max="6160" width="22.83203125" style="54" customWidth="1"/>
    <col min="6161" max="6161" width="11.5" style="54" customWidth="1"/>
    <col min="6162" max="6162" width="13.83203125" style="54" customWidth="1"/>
    <col min="6163" max="6163" width="5.83203125" style="54" customWidth="1"/>
    <col min="6164" max="6164" width="15.5" style="54" customWidth="1"/>
    <col min="6165" max="6405" width="11.5" style="54"/>
    <col min="6406" max="6406" width="0.5" style="54" customWidth="1"/>
    <col min="6407" max="6407" width="3.1640625" style="54" customWidth="1"/>
    <col min="6408" max="6408" width="8.83203125" style="54" customWidth="1"/>
    <col min="6409" max="6409" width="14.83203125" style="54" customWidth="1"/>
    <col min="6410" max="6411" width="6.5" style="54" customWidth="1"/>
    <col min="6412" max="6412" width="14.83203125" style="54" customWidth="1"/>
    <col min="6413" max="6414" width="11.5" style="54" customWidth="1"/>
    <col min="6415" max="6415" width="6.1640625" style="54" customWidth="1"/>
    <col min="6416" max="6416" width="22.83203125" style="54" customWidth="1"/>
    <col min="6417" max="6417" width="11.5" style="54" customWidth="1"/>
    <col min="6418" max="6418" width="13.83203125" style="54" customWidth="1"/>
    <col min="6419" max="6419" width="5.83203125" style="54" customWidth="1"/>
    <col min="6420" max="6420" width="15.5" style="54" customWidth="1"/>
    <col min="6421" max="6661" width="11.5" style="54"/>
    <col min="6662" max="6662" width="0.5" style="54" customWidth="1"/>
    <col min="6663" max="6663" width="3.1640625" style="54" customWidth="1"/>
    <col min="6664" max="6664" width="8.83203125" style="54" customWidth="1"/>
    <col min="6665" max="6665" width="14.83203125" style="54" customWidth="1"/>
    <col min="6666" max="6667" width="6.5" style="54" customWidth="1"/>
    <col min="6668" max="6668" width="14.83203125" style="54" customWidth="1"/>
    <col min="6669" max="6670" width="11.5" style="54" customWidth="1"/>
    <col min="6671" max="6671" width="6.1640625" style="54" customWidth="1"/>
    <col min="6672" max="6672" width="22.83203125" style="54" customWidth="1"/>
    <col min="6673" max="6673" width="11.5" style="54" customWidth="1"/>
    <col min="6674" max="6674" width="13.83203125" style="54" customWidth="1"/>
    <col min="6675" max="6675" width="5.83203125" style="54" customWidth="1"/>
    <col min="6676" max="6676" width="15.5" style="54" customWidth="1"/>
    <col min="6677" max="6917" width="11.5" style="54"/>
    <col min="6918" max="6918" width="0.5" style="54" customWidth="1"/>
    <col min="6919" max="6919" width="3.1640625" style="54" customWidth="1"/>
    <col min="6920" max="6920" width="8.83203125" style="54" customWidth="1"/>
    <col min="6921" max="6921" width="14.83203125" style="54" customWidth="1"/>
    <col min="6922" max="6923" width="6.5" style="54" customWidth="1"/>
    <col min="6924" max="6924" width="14.83203125" style="54" customWidth="1"/>
    <col min="6925" max="6926" width="11.5" style="54" customWidth="1"/>
    <col min="6927" max="6927" width="6.1640625" style="54" customWidth="1"/>
    <col min="6928" max="6928" width="22.83203125" style="54" customWidth="1"/>
    <col min="6929" max="6929" width="11.5" style="54" customWidth="1"/>
    <col min="6930" max="6930" width="13.83203125" style="54" customWidth="1"/>
    <col min="6931" max="6931" width="5.83203125" style="54" customWidth="1"/>
    <col min="6932" max="6932" width="15.5" style="54" customWidth="1"/>
    <col min="6933" max="7173" width="11.5" style="54"/>
    <col min="7174" max="7174" width="0.5" style="54" customWidth="1"/>
    <col min="7175" max="7175" width="3.1640625" style="54" customWidth="1"/>
    <col min="7176" max="7176" width="8.83203125" style="54" customWidth="1"/>
    <col min="7177" max="7177" width="14.83203125" style="54" customWidth="1"/>
    <col min="7178" max="7179" width="6.5" style="54" customWidth="1"/>
    <col min="7180" max="7180" width="14.83203125" style="54" customWidth="1"/>
    <col min="7181" max="7182" width="11.5" style="54" customWidth="1"/>
    <col min="7183" max="7183" width="6.1640625" style="54" customWidth="1"/>
    <col min="7184" max="7184" width="22.83203125" style="54" customWidth="1"/>
    <col min="7185" max="7185" width="11.5" style="54" customWidth="1"/>
    <col min="7186" max="7186" width="13.83203125" style="54" customWidth="1"/>
    <col min="7187" max="7187" width="5.83203125" style="54" customWidth="1"/>
    <col min="7188" max="7188" width="15.5" style="54" customWidth="1"/>
    <col min="7189" max="7429" width="11.5" style="54"/>
    <col min="7430" max="7430" width="0.5" style="54" customWidth="1"/>
    <col min="7431" max="7431" width="3.1640625" style="54" customWidth="1"/>
    <col min="7432" max="7432" width="8.83203125" style="54" customWidth="1"/>
    <col min="7433" max="7433" width="14.83203125" style="54" customWidth="1"/>
    <col min="7434" max="7435" width="6.5" style="54" customWidth="1"/>
    <col min="7436" max="7436" width="14.83203125" style="54" customWidth="1"/>
    <col min="7437" max="7438" width="11.5" style="54" customWidth="1"/>
    <col min="7439" max="7439" width="6.1640625" style="54" customWidth="1"/>
    <col min="7440" max="7440" width="22.83203125" style="54" customWidth="1"/>
    <col min="7441" max="7441" width="11.5" style="54" customWidth="1"/>
    <col min="7442" max="7442" width="13.83203125" style="54" customWidth="1"/>
    <col min="7443" max="7443" width="5.83203125" style="54" customWidth="1"/>
    <col min="7444" max="7444" width="15.5" style="54" customWidth="1"/>
    <col min="7445" max="7685" width="11.5" style="54"/>
    <col min="7686" max="7686" width="0.5" style="54" customWidth="1"/>
    <col min="7687" max="7687" width="3.1640625" style="54" customWidth="1"/>
    <col min="7688" max="7688" width="8.83203125" style="54" customWidth="1"/>
    <col min="7689" max="7689" width="14.83203125" style="54" customWidth="1"/>
    <col min="7690" max="7691" width="6.5" style="54" customWidth="1"/>
    <col min="7692" max="7692" width="14.83203125" style="54" customWidth="1"/>
    <col min="7693" max="7694" width="11.5" style="54" customWidth="1"/>
    <col min="7695" max="7695" width="6.1640625" style="54" customWidth="1"/>
    <col min="7696" max="7696" width="22.83203125" style="54" customWidth="1"/>
    <col min="7697" max="7697" width="11.5" style="54" customWidth="1"/>
    <col min="7698" max="7698" width="13.83203125" style="54" customWidth="1"/>
    <col min="7699" max="7699" width="5.83203125" style="54" customWidth="1"/>
    <col min="7700" max="7700" width="15.5" style="54" customWidth="1"/>
    <col min="7701" max="7941" width="11.5" style="54"/>
    <col min="7942" max="7942" width="0.5" style="54" customWidth="1"/>
    <col min="7943" max="7943" width="3.1640625" style="54" customWidth="1"/>
    <col min="7944" max="7944" width="8.83203125" style="54" customWidth="1"/>
    <col min="7945" max="7945" width="14.83203125" style="54" customWidth="1"/>
    <col min="7946" max="7947" width="6.5" style="54" customWidth="1"/>
    <col min="7948" max="7948" width="14.83203125" style="54" customWidth="1"/>
    <col min="7949" max="7950" width="11.5" style="54" customWidth="1"/>
    <col min="7951" max="7951" width="6.1640625" style="54" customWidth="1"/>
    <col min="7952" max="7952" width="22.83203125" style="54" customWidth="1"/>
    <col min="7953" max="7953" width="11.5" style="54" customWidth="1"/>
    <col min="7954" max="7954" width="13.83203125" style="54" customWidth="1"/>
    <col min="7955" max="7955" width="5.83203125" style="54" customWidth="1"/>
    <col min="7956" max="7956" width="15.5" style="54" customWidth="1"/>
    <col min="7957" max="8197" width="11.5" style="54"/>
    <col min="8198" max="8198" width="0.5" style="54" customWidth="1"/>
    <col min="8199" max="8199" width="3.1640625" style="54" customWidth="1"/>
    <col min="8200" max="8200" width="8.83203125" style="54" customWidth="1"/>
    <col min="8201" max="8201" width="14.83203125" style="54" customWidth="1"/>
    <col min="8202" max="8203" width="6.5" style="54" customWidth="1"/>
    <col min="8204" max="8204" width="14.83203125" style="54" customWidth="1"/>
    <col min="8205" max="8206" width="11.5" style="54" customWidth="1"/>
    <col min="8207" max="8207" width="6.1640625" style="54" customWidth="1"/>
    <col min="8208" max="8208" width="22.83203125" style="54" customWidth="1"/>
    <col min="8209" max="8209" width="11.5" style="54" customWidth="1"/>
    <col min="8210" max="8210" width="13.83203125" style="54" customWidth="1"/>
    <col min="8211" max="8211" width="5.83203125" style="54" customWidth="1"/>
    <col min="8212" max="8212" width="15.5" style="54" customWidth="1"/>
    <col min="8213" max="8453" width="11.5" style="54"/>
    <col min="8454" max="8454" width="0.5" style="54" customWidth="1"/>
    <col min="8455" max="8455" width="3.1640625" style="54" customWidth="1"/>
    <col min="8456" max="8456" width="8.83203125" style="54" customWidth="1"/>
    <col min="8457" max="8457" width="14.83203125" style="54" customWidth="1"/>
    <col min="8458" max="8459" width="6.5" style="54" customWidth="1"/>
    <col min="8460" max="8460" width="14.83203125" style="54" customWidth="1"/>
    <col min="8461" max="8462" width="11.5" style="54" customWidth="1"/>
    <col min="8463" max="8463" width="6.1640625" style="54" customWidth="1"/>
    <col min="8464" max="8464" width="22.83203125" style="54" customWidth="1"/>
    <col min="8465" max="8465" width="11.5" style="54" customWidth="1"/>
    <col min="8466" max="8466" width="13.83203125" style="54" customWidth="1"/>
    <col min="8467" max="8467" width="5.83203125" style="54" customWidth="1"/>
    <col min="8468" max="8468" width="15.5" style="54" customWidth="1"/>
    <col min="8469" max="8709" width="11.5" style="54"/>
    <col min="8710" max="8710" width="0.5" style="54" customWidth="1"/>
    <col min="8711" max="8711" width="3.1640625" style="54" customWidth="1"/>
    <col min="8712" max="8712" width="8.83203125" style="54" customWidth="1"/>
    <col min="8713" max="8713" width="14.83203125" style="54" customWidth="1"/>
    <col min="8714" max="8715" width="6.5" style="54" customWidth="1"/>
    <col min="8716" max="8716" width="14.83203125" style="54" customWidth="1"/>
    <col min="8717" max="8718" width="11.5" style="54" customWidth="1"/>
    <col min="8719" max="8719" width="6.1640625" style="54" customWidth="1"/>
    <col min="8720" max="8720" width="22.83203125" style="54" customWidth="1"/>
    <col min="8721" max="8721" width="11.5" style="54" customWidth="1"/>
    <col min="8722" max="8722" width="13.83203125" style="54" customWidth="1"/>
    <col min="8723" max="8723" width="5.83203125" style="54" customWidth="1"/>
    <col min="8724" max="8724" width="15.5" style="54" customWidth="1"/>
    <col min="8725" max="8965" width="11.5" style="54"/>
    <col min="8966" max="8966" width="0.5" style="54" customWidth="1"/>
    <col min="8967" max="8967" width="3.1640625" style="54" customWidth="1"/>
    <col min="8968" max="8968" width="8.83203125" style="54" customWidth="1"/>
    <col min="8969" max="8969" width="14.83203125" style="54" customWidth="1"/>
    <col min="8970" max="8971" width="6.5" style="54" customWidth="1"/>
    <col min="8972" max="8972" width="14.83203125" style="54" customWidth="1"/>
    <col min="8973" max="8974" width="11.5" style="54" customWidth="1"/>
    <col min="8975" max="8975" width="6.1640625" style="54" customWidth="1"/>
    <col min="8976" max="8976" width="22.83203125" style="54" customWidth="1"/>
    <col min="8977" max="8977" width="11.5" style="54" customWidth="1"/>
    <col min="8978" max="8978" width="13.83203125" style="54" customWidth="1"/>
    <col min="8979" max="8979" width="5.83203125" style="54" customWidth="1"/>
    <col min="8980" max="8980" width="15.5" style="54" customWidth="1"/>
    <col min="8981" max="9221" width="11.5" style="54"/>
    <col min="9222" max="9222" width="0.5" style="54" customWidth="1"/>
    <col min="9223" max="9223" width="3.1640625" style="54" customWidth="1"/>
    <col min="9224" max="9224" width="8.83203125" style="54" customWidth="1"/>
    <col min="9225" max="9225" width="14.83203125" style="54" customWidth="1"/>
    <col min="9226" max="9227" width="6.5" style="54" customWidth="1"/>
    <col min="9228" max="9228" width="14.83203125" style="54" customWidth="1"/>
    <col min="9229" max="9230" width="11.5" style="54" customWidth="1"/>
    <col min="9231" max="9231" width="6.1640625" style="54" customWidth="1"/>
    <col min="9232" max="9232" width="22.83203125" style="54" customWidth="1"/>
    <col min="9233" max="9233" width="11.5" style="54" customWidth="1"/>
    <col min="9234" max="9234" width="13.83203125" style="54" customWidth="1"/>
    <col min="9235" max="9235" width="5.83203125" style="54" customWidth="1"/>
    <col min="9236" max="9236" width="15.5" style="54" customWidth="1"/>
    <col min="9237" max="9477" width="11.5" style="54"/>
    <col min="9478" max="9478" width="0.5" style="54" customWidth="1"/>
    <col min="9479" max="9479" width="3.1640625" style="54" customWidth="1"/>
    <col min="9480" max="9480" width="8.83203125" style="54" customWidth="1"/>
    <col min="9481" max="9481" width="14.83203125" style="54" customWidth="1"/>
    <col min="9482" max="9483" width="6.5" style="54" customWidth="1"/>
    <col min="9484" max="9484" width="14.83203125" style="54" customWidth="1"/>
    <col min="9485" max="9486" width="11.5" style="54" customWidth="1"/>
    <col min="9487" max="9487" width="6.1640625" style="54" customWidth="1"/>
    <col min="9488" max="9488" width="22.83203125" style="54" customWidth="1"/>
    <col min="9489" max="9489" width="11.5" style="54" customWidth="1"/>
    <col min="9490" max="9490" width="13.83203125" style="54" customWidth="1"/>
    <col min="9491" max="9491" width="5.83203125" style="54" customWidth="1"/>
    <col min="9492" max="9492" width="15.5" style="54" customWidth="1"/>
    <col min="9493" max="9733" width="11.5" style="54"/>
    <col min="9734" max="9734" width="0.5" style="54" customWidth="1"/>
    <col min="9735" max="9735" width="3.1640625" style="54" customWidth="1"/>
    <col min="9736" max="9736" width="8.83203125" style="54" customWidth="1"/>
    <col min="9737" max="9737" width="14.83203125" style="54" customWidth="1"/>
    <col min="9738" max="9739" width="6.5" style="54" customWidth="1"/>
    <col min="9740" max="9740" width="14.83203125" style="54" customWidth="1"/>
    <col min="9741" max="9742" width="11.5" style="54" customWidth="1"/>
    <col min="9743" max="9743" width="6.1640625" style="54" customWidth="1"/>
    <col min="9744" max="9744" width="22.83203125" style="54" customWidth="1"/>
    <col min="9745" max="9745" width="11.5" style="54" customWidth="1"/>
    <col min="9746" max="9746" width="13.83203125" style="54" customWidth="1"/>
    <col min="9747" max="9747" width="5.83203125" style="54" customWidth="1"/>
    <col min="9748" max="9748" width="15.5" style="54" customWidth="1"/>
    <col min="9749" max="9989" width="11.5" style="54"/>
    <col min="9990" max="9990" width="0.5" style="54" customWidth="1"/>
    <col min="9991" max="9991" width="3.1640625" style="54" customWidth="1"/>
    <col min="9992" max="9992" width="8.83203125" style="54" customWidth="1"/>
    <col min="9993" max="9993" width="14.83203125" style="54" customWidth="1"/>
    <col min="9994" max="9995" width="6.5" style="54" customWidth="1"/>
    <col min="9996" max="9996" width="14.83203125" style="54" customWidth="1"/>
    <col min="9997" max="9998" width="11.5" style="54" customWidth="1"/>
    <col min="9999" max="9999" width="6.1640625" style="54" customWidth="1"/>
    <col min="10000" max="10000" width="22.83203125" style="54" customWidth="1"/>
    <col min="10001" max="10001" width="11.5" style="54" customWidth="1"/>
    <col min="10002" max="10002" width="13.83203125" style="54" customWidth="1"/>
    <col min="10003" max="10003" width="5.83203125" style="54" customWidth="1"/>
    <col min="10004" max="10004" width="15.5" style="54" customWidth="1"/>
    <col min="10005" max="10245" width="11.5" style="54"/>
    <col min="10246" max="10246" width="0.5" style="54" customWidth="1"/>
    <col min="10247" max="10247" width="3.1640625" style="54" customWidth="1"/>
    <col min="10248" max="10248" width="8.83203125" style="54" customWidth="1"/>
    <col min="10249" max="10249" width="14.83203125" style="54" customWidth="1"/>
    <col min="10250" max="10251" width="6.5" style="54" customWidth="1"/>
    <col min="10252" max="10252" width="14.83203125" style="54" customWidth="1"/>
    <col min="10253" max="10254" width="11.5" style="54" customWidth="1"/>
    <col min="10255" max="10255" width="6.1640625" style="54" customWidth="1"/>
    <col min="10256" max="10256" width="22.83203125" style="54" customWidth="1"/>
    <col min="10257" max="10257" width="11.5" style="54" customWidth="1"/>
    <col min="10258" max="10258" width="13.83203125" style="54" customWidth="1"/>
    <col min="10259" max="10259" width="5.83203125" style="54" customWidth="1"/>
    <col min="10260" max="10260" width="15.5" style="54" customWidth="1"/>
    <col min="10261" max="10501" width="11.5" style="54"/>
    <col min="10502" max="10502" width="0.5" style="54" customWidth="1"/>
    <col min="10503" max="10503" width="3.1640625" style="54" customWidth="1"/>
    <col min="10504" max="10504" width="8.83203125" style="54" customWidth="1"/>
    <col min="10505" max="10505" width="14.83203125" style="54" customWidth="1"/>
    <col min="10506" max="10507" width="6.5" style="54" customWidth="1"/>
    <col min="10508" max="10508" width="14.83203125" style="54" customWidth="1"/>
    <col min="10509" max="10510" width="11.5" style="54" customWidth="1"/>
    <col min="10511" max="10511" width="6.1640625" style="54" customWidth="1"/>
    <col min="10512" max="10512" width="22.83203125" style="54" customWidth="1"/>
    <col min="10513" max="10513" width="11.5" style="54" customWidth="1"/>
    <col min="10514" max="10514" width="13.83203125" style="54" customWidth="1"/>
    <col min="10515" max="10515" width="5.83203125" style="54" customWidth="1"/>
    <col min="10516" max="10516" width="15.5" style="54" customWidth="1"/>
    <col min="10517" max="10757" width="11.5" style="54"/>
    <col min="10758" max="10758" width="0.5" style="54" customWidth="1"/>
    <col min="10759" max="10759" width="3.1640625" style="54" customWidth="1"/>
    <col min="10760" max="10760" width="8.83203125" style="54" customWidth="1"/>
    <col min="10761" max="10761" width="14.83203125" style="54" customWidth="1"/>
    <col min="10762" max="10763" width="6.5" style="54" customWidth="1"/>
    <col min="10764" max="10764" width="14.83203125" style="54" customWidth="1"/>
    <col min="10765" max="10766" width="11.5" style="54" customWidth="1"/>
    <col min="10767" max="10767" width="6.1640625" style="54" customWidth="1"/>
    <col min="10768" max="10768" width="22.83203125" style="54" customWidth="1"/>
    <col min="10769" max="10769" width="11.5" style="54" customWidth="1"/>
    <col min="10770" max="10770" width="13.83203125" style="54" customWidth="1"/>
    <col min="10771" max="10771" width="5.83203125" style="54" customWidth="1"/>
    <col min="10772" max="10772" width="15.5" style="54" customWidth="1"/>
    <col min="10773" max="11013" width="11.5" style="54"/>
    <col min="11014" max="11014" width="0.5" style="54" customWidth="1"/>
    <col min="11015" max="11015" width="3.1640625" style="54" customWidth="1"/>
    <col min="11016" max="11016" width="8.83203125" style="54" customWidth="1"/>
    <col min="11017" max="11017" width="14.83203125" style="54" customWidth="1"/>
    <col min="11018" max="11019" width="6.5" style="54" customWidth="1"/>
    <col min="11020" max="11020" width="14.83203125" style="54" customWidth="1"/>
    <col min="11021" max="11022" width="11.5" style="54" customWidth="1"/>
    <col min="11023" max="11023" width="6.1640625" style="54" customWidth="1"/>
    <col min="11024" max="11024" width="22.83203125" style="54" customWidth="1"/>
    <col min="11025" max="11025" width="11.5" style="54" customWidth="1"/>
    <col min="11026" max="11026" width="13.83203125" style="54" customWidth="1"/>
    <col min="11027" max="11027" width="5.83203125" style="54" customWidth="1"/>
    <col min="11028" max="11028" width="15.5" style="54" customWidth="1"/>
    <col min="11029" max="11269" width="11.5" style="54"/>
    <col min="11270" max="11270" width="0.5" style="54" customWidth="1"/>
    <col min="11271" max="11271" width="3.1640625" style="54" customWidth="1"/>
    <col min="11272" max="11272" width="8.83203125" style="54" customWidth="1"/>
    <col min="11273" max="11273" width="14.83203125" style="54" customWidth="1"/>
    <col min="11274" max="11275" width="6.5" style="54" customWidth="1"/>
    <col min="11276" max="11276" width="14.83203125" style="54" customWidth="1"/>
    <col min="11277" max="11278" width="11.5" style="54" customWidth="1"/>
    <col min="11279" max="11279" width="6.1640625" style="54" customWidth="1"/>
    <col min="11280" max="11280" width="22.83203125" style="54" customWidth="1"/>
    <col min="11281" max="11281" width="11.5" style="54" customWidth="1"/>
    <col min="11282" max="11282" width="13.83203125" style="54" customWidth="1"/>
    <col min="11283" max="11283" width="5.83203125" style="54" customWidth="1"/>
    <col min="11284" max="11284" width="15.5" style="54" customWidth="1"/>
    <col min="11285" max="11525" width="11.5" style="54"/>
    <col min="11526" max="11526" width="0.5" style="54" customWidth="1"/>
    <col min="11527" max="11527" width="3.1640625" style="54" customWidth="1"/>
    <col min="11528" max="11528" width="8.83203125" style="54" customWidth="1"/>
    <col min="11529" max="11529" width="14.83203125" style="54" customWidth="1"/>
    <col min="11530" max="11531" width="6.5" style="54" customWidth="1"/>
    <col min="11532" max="11532" width="14.83203125" style="54" customWidth="1"/>
    <col min="11533" max="11534" width="11.5" style="54" customWidth="1"/>
    <col min="11535" max="11535" width="6.1640625" style="54" customWidth="1"/>
    <col min="11536" max="11536" width="22.83203125" style="54" customWidth="1"/>
    <col min="11537" max="11537" width="11.5" style="54" customWidth="1"/>
    <col min="11538" max="11538" width="13.83203125" style="54" customWidth="1"/>
    <col min="11539" max="11539" width="5.83203125" style="54" customWidth="1"/>
    <col min="11540" max="11540" width="15.5" style="54" customWidth="1"/>
    <col min="11541" max="11781" width="11.5" style="54"/>
    <col min="11782" max="11782" width="0.5" style="54" customWidth="1"/>
    <col min="11783" max="11783" width="3.1640625" style="54" customWidth="1"/>
    <col min="11784" max="11784" width="8.83203125" style="54" customWidth="1"/>
    <col min="11785" max="11785" width="14.83203125" style="54" customWidth="1"/>
    <col min="11786" max="11787" width="6.5" style="54" customWidth="1"/>
    <col min="11788" max="11788" width="14.83203125" style="54" customWidth="1"/>
    <col min="11789" max="11790" width="11.5" style="54" customWidth="1"/>
    <col min="11791" max="11791" width="6.1640625" style="54" customWidth="1"/>
    <col min="11792" max="11792" width="22.83203125" style="54" customWidth="1"/>
    <col min="11793" max="11793" width="11.5" style="54" customWidth="1"/>
    <col min="11794" max="11794" width="13.83203125" style="54" customWidth="1"/>
    <col min="11795" max="11795" width="5.83203125" style="54" customWidth="1"/>
    <col min="11796" max="11796" width="15.5" style="54" customWidth="1"/>
    <col min="11797" max="12037" width="11.5" style="54"/>
    <col min="12038" max="12038" width="0.5" style="54" customWidth="1"/>
    <col min="12039" max="12039" width="3.1640625" style="54" customWidth="1"/>
    <col min="12040" max="12040" width="8.83203125" style="54" customWidth="1"/>
    <col min="12041" max="12041" width="14.83203125" style="54" customWidth="1"/>
    <col min="12042" max="12043" width="6.5" style="54" customWidth="1"/>
    <col min="12044" max="12044" width="14.83203125" style="54" customWidth="1"/>
    <col min="12045" max="12046" width="11.5" style="54" customWidth="1"/>
    <col min="12047" max="12047" width="6.1640625" style="54" customWidth="1"/>
    <col min="12048" max="12048" width="22.83203125" style="54" customWidth="1"/>
    <col min="12049" max="12049" width="11.5" style="54" customWidth="1"/>
    <col min="12050" max="12050" width="13.83203125" style="54" customWidth="1"/>
    <col min="12051" max="12051" width="5.83203125" style="54" customWidth="1"/>
    <col min="12052" max="12052" width="15.5" style="54" customWidth="1"/>
    <col min="12053" max="12293" width="11.5" style="54"/>
    <col min="12294" max="12294" width="0.5" style="54" customWidth="1"/>
    <col min="12295" max="12295" width="3.1640625" style="54" customWidth="1"/>
    <col min="12296" max="12296" width="8.83203125" style="54" customWidth="1"/>
    <col min="12297" max="12297" width="14.83203125" style="54" customWidth="1"/>
    <col min="12298" max="12299" width="6.5" style="54" customWidth="1"/>
    <col min="12300" max="12300" width="14.83203125" style="54" customWidth="1"/>
    <col min="12301" max="12302" width="11.5" style="54" customWidth="1"/>
    <col min="12303" max="12303" width="6.1640625" style="54" customWidth="1"/>
    <col min="12304" max="12304" width="22.83203125" style="54" customWidth="1"/>
    <col min="12305" max="12305" width="11.5" style="54" customWidth="1"/>
    <col min="12306" max="12306" width="13.83203125" style="54" customWidth="1"/>
    <col min="12307" max="12307" width="5.83203125" style="54" customWidth="1"/>
    <col min="12308" max="12308" width="15.5" style="54" customWidth="1"/>
    <col min="12309" max="12549" width="11.5" style="54"/>
    <col min="12550" max="12550" width="0.5" style="54" customWidth="1"/>
    <col min="12551" max="12551" width="3.1640625" style="54" customWidth="1"/>
    <col min="12552" max="12552" width="8.83203125" style="54" customWidth="1"/>
    <col min="12553" max="12553" width="14.83203125" style="54" customWidth="1"/>
    <col min="12554" max="12555" width="6.5" style="54" customWidth="1"/>
    <col min="12556" max="12556" width="14.83203125" style="54" customWidth="1"/>
    <col min="12557" max="12558" width="11.5" style="54" customWidth="1"/>
    <col min="12559" max="12559" width="6.1640625" style="54" customWidth="1"/>
    <col min="12560" max="12560" width="22.83203125" style="54" customWidth="1"/>
    <col min="12561" max="12561" width="11.5" style="54" customWidth="1"/>
    <col min="12562" max="12562" width="13.83203125" style="54" customWidth="1"/>
    <col min="12563" max="12563" width="5.83203125" style="54" customWidth="1"/>
    <col min="12564" max="12564" width="15.5" style="54" customWidth="1"/>
    <col min="12565" max="12805" width="11.5" style="54"/>
    <col min="12806" max="12806" width="0.5" style="54" customWidth="1"/>
    <col min="12807" max="12807" width="3.1640625" style="54" customWidth="1"/>
    <col min="12808" max="12808" width="8.83203125" style="54" customWidth="1"/>
    <col min="12809" max="12809" width="14.83203125" style="54" customWidth="1"/>
    <col min="12810" max="12811" width="6.5" style="54" customWidth="1"/>
    <col min="12812" max="12812" width="14.83203125" style="54" customWidth="1"/>
    <col min="12813" max="12814" width="11.5" style="54" customWidth="1"/>
    <col min="12815" max="12815" width="6.1640625" style="54" customWidth="1"/>
    <col min="12816" max="12816" width="22.83203125" style="54" customWidth="1"/>
    <col min="12817" max="12817" width="11.5" style="54" customWidth="1"/>
    <col min="12818" max="12818" width="13.83203125" style="54" customWidth="1"/>
    <col min="12819" max="12819" width="5.83203125" style="54" customWidth="1"/>
    <col min="12820" max="12820" width="15.5" style="54" customWidth="1"/>
    <col min="12821" max="13061" width="11.5" style="54"/>
    <col min="13062" max="13062" width="0.5" style="54" customWidth="1"/>
    <col min="13063" max="13063" width="3.1640625" style="54" customWidth="1"/>
    <col min="13064" max="13064" width="8.83203125" style="54" customWidth="1"/>
    <col min="13065" max="13065" width="14.83203125" style="54" customWidth="1"/>
    <col min="13066" max="13067" width="6.5" style="54" customWidth="1"/>
    <col min="13068" max="13068" width="14.83203125" style="54" customWidth="1"/>
    <col min="13069" max="13070" width="11.5" style="54" customWidth="1"/>
    <col min="13071" max="13071" width="6.1640625" style="54" customWidth="1"/>
    <col min="13072" max="13072" width="22.83203125" style="54" customWidth="1"/>
    <col min="13073" max="13073" width="11.5" style="54" customWidth="1"/>
    <col min="13074" max="13074" width="13.83203125" style="54" customWidth="1"/>
    <col min="13075" max="13075" width="5.83203125" style="54" customWidth="1"/>
    <col min="13076" max="13076" width="15.5" style="54" customWidth="1"/>
    <col min="13077" max="13317" width="11.5" style="54"/>
    <col min="13318" max="13318" width="0.5" style="54" customWidth="1"/>
    <col min="13319" max="13319" width="3.1640625" style="54" customWidth="1"/>
    <col min="13320" max="13320" width="8.83203125" style="54" customWidth="1"/>
    <col min="13321" max="13321" width="14.83203125" style="54" customWidth="1"/>
    <col min="13322" max="13323" width="6.5" style="54" customWidth="1"/>
    <col min="13324" max="13324" width="14.83203125" style="54" customWidth="1"/>
    <col min="13325" max="13326" width="11.5" style="54" customWidth="1"/>
    <col min="13327" max="13327" width="6.1640625" style="54" customWidth="1"/>
    <col min="13328" max="13328" width="22.83203125" style="54" customWidth="1"/>
    <col min="13329" max="13329" width="11.5" style="54" customWidth="1"/>
    <col min="13330" max="13330" width="13.83203125" style="54" customWidth="1"/>
    <col min="13331" max="13331" width="5.83203125" style="54" customWidth="1"/>
    <col min="13332" max="13332" width="15.5" style="54" customWidth="1"/>
    <col min="13333" max="13573" width="11.5" style="54"/>
    <col min="13574" max="13574" width="0.5" style="54" customWidth="1"/>
    <col min="13575" max="13575" width="3.1640625" style="54" customWidth="1"/>
    <col min="13576" max="13576" width="8.83203125" style="54" customWidth="1"/>
    <col min="13577" max="13577" width="14.83203125" style="54" customWidth="1"/>
    <col min="13578" max="13579" width="6.5" style="54" customWidth="1"/>
    <col min="13580" max="13580" width="14.83203125" style="54" customWidth="1"/>
    <col min="13581" max="13582" width="11.5" style="54" customWidth="1"/>
    <col min="13583" max="13583" width="6.1640625" style="54" customWidth="1"/>
    <col min="13584" max="13584" width="22.83203125" style="54" customWidth="1"/>
    <col min="13585" max="13585" width="11.5" style="54" customWidth="1"/>
    <col min="13586" max="13586" width="13.83203125" style="54" customWidth="1"/>
    <col min="13587" max="13587" width="5.83203125" style="54" customWidth="1"/>
    <col min="13588" max="13588" width="15.5" style="54" customWidth="1"/>
    <col min="13589" max="13829" width="11.5" style="54"/>
    <col min="13830" max="13830" width="0.5" style="54" customWidth="1"/>
    <col min="13831" max="13831" width="3.1640625" style="54" customWidth="1"/>
    <col min="13832" max="13832" width="8.83203125" style="54" customWidth="1"/>
    <col min="13833" max="13833" width="14.83203125" style="54" customWidth="1"/>
    <col min="13834" max="13835" width="6.5" style="54" customWidth="1"/>
    <col min="13836" max="13836" width="14.83203125" style="54" customWidth="1"/>
    <col min="13837" max="13838" width="11.5" style="54" customWidth="1"/>
    <col min="13839" max="13839" width="6.1640625" style="54" customWidth="1"/>
    <col min="13840" max="13840" width="22.83203125" style="54" customWidth="1"/>
    <col min="13841" max="13841" width="11.5" style="54" customWidth="1"/>
    <col min="13842" max="13842" width="13.83203125" style="54" customWidth="1"/>
    <col min="13843" max="13843" width="5.83203125" style="54" customWidth="1"/>
    <col min="13844" max="13844" width="15.5" style="54" customWidth="1"/>
    <col min="13845" max="14085" width="11.5" style="54"/>
    <col min="14086" max="14086" width="0.5" style="54" customWidth="1"/>
    <col min="14087" max="14087" width="3.1640625" style="54" customWidth="1"/>
    <col min="14088" max="14088" width="8.83203125" style="54" customWidth="1"/>
    <col min="14089" max="14089" width="14.83203125" style="54" customWidth="1"/>
    <col min="14090" max="14091" width="6.5" style="54" customWidth="1"/>
    <col min="14092" max="14092" width="14.83203125" style="54" customWidth="1"/>
    <col min="14093" max="14094" width="11.5" style="54" customWidth="1"/>
    <col min="14095" max="14095" width="6.1640625" style="54" customWidth="1"/>
    <col min="14096" max="14096" width="22.83203125" style="54" customWidth="1"/>
    <col min="14097" max="14097" width="11.5" style="54" customWidth="1"/>
    <col min="14098" max="14098" width="13.83203125" style="54" customWidth="1"/>
    <col min="14099" max="14099" width="5.83203125" style="54" customWidth="1"/>
    <col min="14100" max="14100" width="15.5" style="54" customWidth="1"/>
    <col min="14101" max="14341" width="11.5" style="54"/>
    <col min="14342" max="14342" width="0.5" style="54" customWidth="1"/>
    <col min="14343" max="14343" width="3.1640625" style="54" customWidth="1"/>
    <col min="14344" max="14344" width="8.83203125" style="54" customWidth="1"/>
    <col min="14345" max="14345" width="14.83203125" style="54" customWidth="1"/>
    <col min="14346" max="14347" width="6.5" style="54" customWidth="1"/>
    <col min="14348" max="14348" width="14.83203125" style="54" customWidth="1"/>
    <col min="14349" max="14350" width="11.5" style="54" customWidth="1"/>
    <col min="14351" max="14351" width="6.1640625" style="54" customWidth="1"/>
    <col min="14352" max="14352" width="22.83203125" style="54" customWidth="1"/>
    <col min="14353" max="14353" width="11.5" style="54" customWidth="1"/>
    <col min="14354" max="14354" width="13.83203125" style="54" customWidth="1"/>
    <col min="14355" max="14355" width="5.83203125" style="54" customWidth="1"/>
    <col min="14356" max="14356" width="15.5" style="54" customWidth="1"/>
    <col min="14357" max="14597" width="11.5" style="54"/>
    <col min="14598" max="14598" width="0.5" style="54" customWidth="1"/>
    <col min="14599" max="14599" width="3.1640625" style="54" customWidth="1"/>
    <col min="14600" max="14600" width="8.83203125" style="54" customWidth="1"/>
    <col min="14601" max="14601" width="14.83203125" style="54" customWidth="1"/>
    <col min="14602" max="14603" width="6.5" style="54" customWidth="1"/>
    <col min="14604" max="14604" width="14.83203125" style="54" customWidth="1"/>
    <col min="14605" max="14606" width="11.5" style="54" customWidth="1"/>
    <col min="14607" max="14607" width="6.1640625" style="54" customWidth="1"/>
    <col min="14608" max="14608" width="22.83203125" style="54" customWidth="1"/>
    <col min="14609" max="14609" width="11.5" style="54" customWidth="1"/>
    <col min="14610" max="14610" width="13.83203125" style="54" customWidth="1"/>
    <col min="14611" max="14611" width="5.83203125" style="54" customWidth="1"/>
    <col min="14612" max="14612" width="15.5" style="54" customWidth="1"/>
    <col min="14613" max="14853" width="11.5" style="54"/>
    <col min="14854" max="14854" width="0.5" style="54" customWidth="1"/>
    <col min="14855" max="14855" width="3.1640625" style="54" customWidth="1"/>
    <col min="14856" max="14856" width="8.83203125" style="54" customWidth="1"/>
    <col min="14857" max="14857" width="14.83203125" style="54" customWidth="1"/>
    <col min="14858" max="14859" width="6.5" style="54" customWidth="1"/>
    <col min="14860" max="14860" width="14.83203125" style="54" customWidth="1"/>
    <col min="14861" max="14862" width="11.5" style="54" customWidth="1"/>
    <col min="14863" max="14863" width="6.1640625" style="54" customWidth="1"/>
    <col min="14864" max="14864" width="22.83203125" style="54" customWidth="1"/>
    <col min="14865" max="14865" width="11.5" style="54" customWidth="1"/>
    <col min="14866" max="14866" width="13.83203125" style="54" customWidth="1"/>
    <col min="14867" max="14867" width="5.83203125" style="54" customWidth="1"/>
    <col min="14868" max="14868" width="15.5" style="54" customWidth="1"/>
    <col min="14869" max="15109" width="11.5" style="54"/>
    <col min="15110" max="15110" width="0.5" style="54" customWidth="1"/>
    <col min="15111" max="15111" width="3.1640625" style="54" customWidth="1"/>
    <col min="15112" max="15112" width="8.83203125" style="54" customWidth="1"/>
    <col min="15113" max="15113" width="14.83203125" style="54" customWidth="1"/>
    <col min="15114" max="15115" width="6.5" style="54" customWidth="1"/>
    <col min="15116" max="15116" width="14.83203125" style="54" customWidth="1"/>
    <col min="15117" max="15118" width="11.5" style="54" customWidth="1"/>
    <col min="15119" max="15119" width="6.1640625" style="54" customWidth="1"/>
    <col min="15120" max="15120" width="22.83203125" style="54" customWidth="1"/>
    <col min="15121" max="15121" width="11.5" style="54" customWidth="1"/>
    <col min="15122" max="15122" width="13.83203125" style="54" customWidth="1"/>
    <col min="15123" max="15123" width="5.83203125" style="54" customWidth="1"/>
    <col min="15124" max="15124" width="15.5" style="54" customWidth="1"/>
    <col min="15125" max="15365" width="11.5" style="54"/>
    <col min="15366" max="15366" width="0.5" style="54" customWidth="1"/>
    <col min="15367" max="15367" width="3.1640625" style="54" customWidth="1"/>
    <col min="15368" max="15368" width="8.83203125" style="54" customWidth="1"/>
    <col min="15369" max="15369" width="14.83203125" style="54" customWidth="1"/>
    <col min="15370" max="15371" width="6.5" style="54" customWidth="1"/>
    <col min="15372" max="15372" width="14.83203125" style="54" customWidth="1"/>
    <col min="15373" max="15374" width="11.5" style="54" customWidth="1"/>
    <col min="15375" max="15375" width="6.1640625" style="54" customWidth="1"/>
    <col min="15376" max="15376" width="22.83203125" style="54" customWidth="1"/>
    <col min="15377" max="15377" width="11.5" style="54" customWidth="1"/>
    <col min="15378" max="15378" width="13.83203125" style="54" customWidth="1"/>
    <col min="15379" max="15379" width="5.83203125" style="54" customWidth="1"/>
    <col min="15380" max="15380" width="15.5" style="54" customWidth="1"/>
    <col min="15381" max="15621" width="11.5" style="54"/>
    <col min="15622" max="15622" width="0.5" style="54" customWidth="1"/>
    <col min="15623" max="15623" width="3.1640625" style="54" customWidth="1"/>
    <col min="15624" max="15624" width="8.83203125" style="54" customWidth="1"/>
    <col min="15625" max="15625" width="14.83203125" style="54" customWidth="1"/>
    <col min="15626" max="15627" width="6.5" style="54" customWidth="1"/>
    <col min="15628" max="15628" width="14.83203125" style="54" customWidth="1"/>
    <col min="15629" max="15630" width="11.5" style="54" customWidth="1"/>
    <col min="15631" max="15631" width="6.1640625" style="54" customWidth="1"/>
    <col min="15632" max="15632" width="22.83203125" style="54" customWidth="1"/>
    <col min="15633" max="15633" width="11.5" style="54" customWidth="1"/>
    <col min="15634" max="15634" width="13.83203125" style="54" customWidth="1"/>
    <col min="15635" max="15635" width="5.83203125" style="54" customWidth="1"/>
    <col min="15636" max="15636" width="15.5" style="54" customWidth="1"/>
    <col min="15637" max="15877" width="11.5" style="54"/>
    <col min="15878" max="15878" width="0.5" style="54" customWidth="1"/>
    <col min="15879" max="15879" width="3.1640625" style="54" customWidth="1"/>
    <col min="15880" max="15880" width="8.83203125" style="54" customWidth="1"/>
    <col min="15881" max="15881" width="14.83203125" style="54" customWidth="1"/>
    <col min="15882" max="15883" width="6.5" style="54" customWidth="1"/>
    <col min="15884" max="15884" width="14.83203125" style="54" customWidth="1"/>
    <col min="15885" max="15886" width="11.5" style="54" customWidth="1"/>
    <col min="15887" max="15887" width="6.1640625" style="54" customWidth="1"/>
    <col min="15888" max="15888" width="22.83203125" style="54" customWidth="1"/>
    <col min="15889" max="15889" width="11.5" style="54" customWidth="1"/>
    <col min="15890" max="15890" width="13.83203125" style="54" customWidth="1"/>
    <col min="15891" max="15891" width="5.83203125" style="54" customWidth="1"/>
    <col min="15892" max="15892" width="15.5" style="54" customWidth="1"/>
    <col min="15893" max="16133" width="11.5" style="54"/>
    <col min="16134" max="16134" width="0.5" style="54" customWidth="1"/>
    <col min="16135" max="16135" width="3.1640625" style="54" customWidth="1"/>
    <col min="16136" max="16136" width="8.83203125" style="54" customWidth="1"/>
    <col min="16137" max="16137" width="14.83203125" style="54" customWidth="1"/>
    <col min="16138" max="16139" width="6.5" style="54" customWidth="1"/>
    <col min="16140" max="16140" width="14.83203125" style="54" customWidth="1"/>
    <col min="16141" max="16142" width="11.5" style="54" customWidth="1"/>
    <col min="16143" max="16143" width="6.1640625" style="54" customWidth="1"/>
    <col min="16144" max="16144" width="22.83203125" style="54" customWidth="1"/>
    <col min="16145" max="16145" width="11.5" style="54" customWidth="1"/>
    <col min="16146" max="16146" width="13.83203125" style="54" customWidth="1"/>
    <col min="16147" max="16147" width="5.83203125" style="54" customWidth="1"/>
    <col min="16148" max="16148" width="15.5" style="54" customWidth="1"/>
    <col min="16149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IF(SUM(N14:O44,L13:L44,AA51:AD51,AA52:AB52)=0,Datenblatt!J106,SUM(N14:O44,L13:L44,AA51:AD51,AA52:AB52,AH51:AH52))</f>
        <v>220.8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DATE($D$8,7,1)</f>
        <v>46204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184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46203</v>
      </c>
      <c r="C13" s="139">
        <f>C14-1</f>
        <v>46203</v>
      </c>
      <c r="D13" s="143" t="str">
        <f>IF(Juni!D$43="","",Juni!D$43)</f>
        <v/>
      </c>
      <c r="E13" s="140" t="str">
        <f>IF(Juni!E$43="","",Juni!E$43)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:Z44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46204</v>
      </c>
      <c r="C14" s="81">
        <f>DATE($D$8,MONTH(B$8),1)</f>
        <v>46204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 t="shared" si="1"/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 t="shared" ref="AC14:AC44" si="4">IF(OR(E14="ND",E14="ND12,5"),2,0)</f>
        <v>0</v>
      </c>
      <c r="AD14" s="203">
        <f t="shared" ref="AD14:AD44" si="5"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46205</v>
      </c>
      <c r="C15" s="82">
        <f t="shared" ref="C15:C41" si="6">C14+1</f>
        <v>46205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7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si="1"/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si="4"/>
        <v>0</v>
      </c>
      <c r="AD15" s="203">
        <f t="shared" si="5"/>
        <v>0</v>
      </c>
      <c r="AE15" s="203">
        <f t="shared" ref="AE15:AE44" si="8">IF(AND(E14="ND",AA15&gt;=2),1,IF(AND(E14="ND12,5",AA15&gt;=2),0.5,0))</f>
        <v>0</v>
      </c>
      <c r="AF15" s="103">
        <f t="shared" ref="AF15:AF44" si="9">IF(OR(D15="ND",D15="ND12,5"),2-X15,0)</f>
        <v>0</v>
      </c>
      <c r="AG15" s="103">
        <f t="shared" ref="AG15:AG44" si="10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46206</v>
      </c>
      <c r="C16" s="82">
        <f t="shared" si="6"/>
        <v>46206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7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1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4"/>
        <v>0</v>
      </c>
      <c r="AD16" s="203">
        <f t="shared" si="5"/>
        <v>0</v>
      </c>
      <c r="AE16" s="203">
        <f t="shared" si="8"/>
        <v>0</v>
      </c>
      <c r="AF16" s="103">
        <f t="shared" si="9"/>
        <v>0</v>
      </c>
      <c r="AG16" s="103">
        <f t="shared" si="10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46207</v>
      </c>
      <c r="C17" s="82">
        <f t="shared" si="6"/>
        <v>46207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7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1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4"/>
        <v>0</v>
      </c>
      <c r="AD17" s="203">
        <f t="shared" si="5"/>
        <v>0</v>
      </c>
      <c r="AE17" s="203">
        <f t="shared" si="8"/>
        <v>0</v>
      </c>
      <c r="AF17" s="103">
        <f t="shared" si="9"/>
        <v>0</v>
      </c>
      <c r="AG17" s="103">
        <f t="shared" si="10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46208</v>
      </c>
      <c r="C18" s="82">
        <f t="shared" si="6"/>
        <v>46208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>
        <f t="shared" si="3"/>
        <v>0</v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7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1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4"/>
        <v>0</v>
      </c>
      <c r="AD18" s="203">
        <f t="shared" si="5"/>
        <v>0</v>
      </c>
      <c r="AE18" s="203">
        <f t="shared" si="8"/>
        <v>0</v>
      </c>
      <c r="AF18" s="103">
        <f t="shared" si="9"/>
        <v>0</v>
      </c>
      <c r="AG18" s="103">
        <f t="shared" si="10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46209</v>
      </c>
      <c r="C19" s="82">
        <f t="shared" si="6"/>
        <v>46209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7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1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4"/>
        <v>0</v>
      </c>
      <c r="AD19" s="203">
        <f t="shared" si="5"/>
        <v>0</v>
      </c>
      <c r="AE19" s="203">
        <f t="shared" si="8"/>
        <v>0</v>
      </c>
      <c r="AF19" s="103">
        <f t="shared" si="9"/>
        <v>0</v>
      </c>
      <c r="AG19" s="103">
        <f t="shared" si="10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46210</v>
      </c>
      <c r="C20" s="82">
        <f t="shared" si="6"/>
        <v>46210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7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1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4"/>
        <v>0</v>
      </c>
      <c r="AD20" s="203">
        <f t="shared" si="5"/>
        <v>0</v>
      </c>
      <c r="AE20" s="203">
        <f t="shared" si="8"/>
        <v>0</v>
      </c>
      <c r="AF20" s="103">
        <f t="shared" si="9"/>
        <v>0</v>
      </c>
      <c r="AG20" s="103">
        <f t="shared" si="10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46211</v>
      </c>
      <c r="C21" s="82">
        <f t="shared" si="6"/>
        <v>46211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7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1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4"/>
        <v>0</v>
      </c>
      <c r="AD21" s="203">
        <f t="shared" si="5"/>
        <v>0</v>
      </c>
      <c r="AE21" s="203">
        <f t="shared" si="8"/>
        <v>0</v>
      </c>
      <c r="AF21" s="103">
        <f t="shared" si="9"/>
        <v>0</v>
      </c>
      <c r="AG21" s="103">
        <f t="shared" si="10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46212</v>
      </c>
      <c r="C22" s="82">
        <f t="shared" si="6"/>
        <v>46212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7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1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4"/>
        <v>0</v>
      </c>
      <c r="AD22" s="203">
        <f t="shared" si="5"/>
        <v>0</v>
      </c>
      <c r="AE22" s="203">
        <f t="shared" si="8"/>
        <v>0</v>
      </c>
      <c r="AF22" s="103">
        <f t="shared" si="9"/>
        <v>0</v>
      </c>
      <c r="AG22" s="103">
        <f t="shared" si="10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46213</v>
      </c>
      <c r="C23" s="82">
        <f t="shared" si="6"/>
        <v>46213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7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1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4"/>
        <v>0</v>
      </c>
      <c r="AD23" s="203">
        <f t="shared" si="5"/>
        <v>0</v>
      </c>
      <c r="AE23" s="203">
        <f t="shared" si="8"/>
        <v>0</v>
      </c>
      <c r="AF23" s="103">
        <f t="shared" si="9"/>
        <v>0</v>
      </c>
      <c r="AG23" s="103">
        <f t="shared" si="10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46214</v>
      </c>
      <c r="C24" s="82">
        <f t="shared" si="6"/>
        <v>46214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7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1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4"/>
        <v>0</v>
      </c>
      <c r="AD24" s="203">
        <f t="shared" si="5"/>
        <v>0</v>
      </c>
      <c r="AE24" s="203">
        <f t="shared" si="8"/>
        <v>0</v>
      </c>
      <c r="AF24" s="103">
        <f t="shared" si="9"/>
        <v>0</v>
      </c>
      <c r="AG24" s="103">
        <f t="shared" si="10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46215</v>
      </c>
      <c r="C25" s="82">
        <f t="shared" si="6"/>
        <v>46215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>
        <f t="shared" si="3"/>
        <v>0</v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7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1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4"/>
        <v>0</v>
      </c>
      <c r="AD25" s="203">
        <f t="shared" si="5"/>
        <v>0</v>
      </c>
      <c r="AE25" s="203">
        <f t="shared" si="8"/>
        <v>0</v>
      </c>
      <c r="AF25" s="103">
        <f t="shared" si="9"/>
        <v>0</v>
      </c>
      <c r="AG25" s="103">
        <f t="shared" si="10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46216</v>
      </c>
      <c r="C26" s="82">
        <f t="shared" si="6"/>
        <v>46216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7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1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4"/>
        <v>0</v>
      </c>
      <c r="AD26" s="203">
        <f t="shared" si="5"/>
        <v>0</v>
      </c>
      <c r="AE26" s="203">
        <f t="shared" si="8"/>
        <v>0</v>
      </c>
      <c r="AF26" s="103">
        <f t="shared" si="9"/>
        <v>0</v>
      </c>
      <c r="AG26" s="103">
        <f t="shared" si="10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46217</v>
      </c>
      <c r="C27" s="82">
        <f t="shared" si="6"/>
        <v>46217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7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1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4"/>
        <v>0</v>
      </c>
      <c r="AD27" s="203">
        <f t="shared" si="5"/>
        <v>0</v>
      </c>
      <c r="AE27" s="203">
        <f t="shared" si="8"/>
        <v>0</v>
      </c>
      <c r="AF27" s="103">
        <f t="shared" si="9"/>
        <v>0</v>
      </c>
      <c r="AG27" s="103">
        <f t="shared" si="10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46218</v>
      </c>
      <c r="C28" s="82">
        <f t="shared" si="6"/>
        <v>46218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7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1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4"/>
        <v>0</v>
      </c>
      <c r="AD28" s="203">
        <f t="shared" si="5"/>
        <v>0</v>
      </c>
      <c r="AE28" s="203">
        <f t="shared" si="8"/>
        <v>0</v>
      </c>
      <c r="AF28" s="103">
        <f t="shared" si="9"/>
        <v>0</v>
      </c>
      <c r="AG28" s="103">
        <f t="shared" si="10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46219</v>
      </c>
      <c r="C29" s="82">
        <f t="shared" si="6"/>
        <v>46219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7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1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4"/>
        <v>0</v>
      </c>
      <c r="AD29" s="203">
        <f t="shared" si="5"/>
        <v>0</v>
      </c>
      <c r="AE29" s="203">
        <f t="shared" si="8"/>
        <v>0</v>
      </c>
      <c r="AF29" s="103">
        <f t="shared" si="9"/>
        <v>0</v>
      </c>
      <c r="AG29" s="103">
        <f t="shared" si="10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46220</v>
      </c>
      <c r="C30" s="82">
        <f t="shared" si="6"/>
        <v>46220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7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1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4"/>
        <v>0</v>
      </c>
      <c r="AD30" s="203">
        <f t="shared" si="5"/>
        <v>0</v>
      </c>
      <c r="AE30" s="203">
        <f t="shared" si="8"/>
        <v>0</v>
      </c>
      <c r="AF30" s="103">
        <f t="shared" si="9"/>
        <v>0</v>
      </c>
      <c r="AG30" s="103">
        <f t="shared" si="10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46221</v>
      </c>
      <c r="C31" s="82">
        <f t="shared" si="6"/>
        <v>46221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7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1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4"/>
        <v>0</v>
      </c>
      <c r="AD31" s="203">
        <f t="shared" si="5"/>
        <v>0</v>
      </c>
      <c r="AE31" s="203">
        <f t="shared" si="8"/>
        <v>0</v>
      </c>
      <c r="AF31" s="103">
        <f t="shared" si="9"/>
        <v>0</v>
      </c>
      <c r="AG31" s="103">
        <f t="shared" si="10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46222</v>
      </c>
      <c r="C32" s="82">
        <f t="shared" si="6"/>
        <v>46222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>
        <f t="shared" si="3"/>
        <v>0</v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7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1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4"/>
        <v>0</v>
      </c>
      <c r="AD32" s="203">
        <f t="shared" si="5"/>
        <v>0</v>
      </c>
      <c r="AE32" s="203">
        <f t="shared" si="8"/>
        <v>0</v>
      </c>
      <c r="AF32" s="103">
        <f t="shared" si="9"/>
        <v>0</v>
      </c>
      <c r="AG32" s="103">
        <f t="shared" si="10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46223</v>
      </c>
      <c r="C33" s="82">
        <f t="shared" si="6"/>
        <v>46223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7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1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4"/>
        <v>0</v>
      </c>
      <c r="AD33" s="203">
        <f t="shared" si="5"/>
        <v>0</v>
      </c>
      <c r="AE33" s="203">
        <f t="shared" si="8"/>
        <v>0</v>
      </c>
      <c r="AF33" s="103">
        <f t="shared" si="9"/>
        <v>0</v>
      </c>
      <c r="AG33" s="103">
        <f t="shared" si="10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46224</v>
      </c>
      <c r="C34" s="82">
        <f t="shared" si="6"/>
        <v>46224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7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1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4"/>
        <v>0</v>
      </c>
      <c r="AD34" s="203">
        <f t="shared" si="5"/>
        <v>0</v>
      </c>
      <c r="AE34" s="203">
        <f t="shared" si="8"/>
        <v>0</v>
      </c>
      <c r="AF34" s="103">
        <f t="shared" si="9"/>
        <v>0</v>
      </c>
      <c r="AG34" s="103">
        <f t="shared" si="10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46225</v>
      </c>
      <c r="C35" s="82">
        <f t="shared" si="6"/>
        <v>46225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7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1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4"/>
        <v>0</v>
      </c>
      <c r="AD35" s="203">
        <f t="shared" si="5"/>
        <v>0</v>
      </c>
      <c r="AE35" s="203">
        <f t="shared" si="8"/>
        <v>0</v>
      </c>
      <c r="AF35" s="103">
        <f t="shared" si="9"/>
        <v>0</v>
      </c>
      <c r="AG35" s="103">
        <f t="shared" si="10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46226</v>
      </c>
      <c r="C36" s="82">
        <f t="shared" si="6"/>
        <v>46226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7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1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4"/>
        <v>0</v>
      </c>
      <c r="AD36" s="203">
        <f t="shared" si="5"/>
        <v>0</v>
      </c>
      <c r="AE36" s="203">
        <f t="shared" si="8"/>
        <v>0</v>
      </c>
      <c r="AF36" s="103">
        <f t="shared" si="9"/>
        <v>0</v>
      </c>
      <c r="AG36" s="103">
        <f t="shared" si="10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46227</v>
      </c>
      <c r="C37" s="82">
        <f t="shared" si="6"/>
        <v>46227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7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1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4"/>
        <v>0</v>
      </c>
      <c r="AD37" s="203">
        <f t="shared" si="5"/>
        <v>0</v>
      </c>
      <c r="AE37" s="203">
        <f t="shared" si="8"/>
        <v>0</v>
      </c>
      <c r="AF37" s="103">
        <f t="shared" si="9"/>
        <v>0</v>
      </c>
      <c r="AG37" s="103">
        <f t="shared" si="10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46228</v>
      </c>
      <c r="C38" s="82">
        <f t="shared" si="6"/>
        <v>46228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7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1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4"/>
        <v>0</v>
      </c>
      <c r="AD38" s="203">
        <f t="shared" si="5"/>
        <v>0</v>
      </c>
      <c r="AE38" s="203">
        <f t="shared" si="8"/>
        <v>0</v>
      </c>
      <c r="AF38" s="103">
        <f t="shared" si="9"/>
        <v>0</v>
      </c>
      <c r="AG38" s="103">
        <f t="shared" si="10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46229</v>
      </c>
      <c r="C39" s="82">
        <f t="shared" si="6"/>
        <v>46229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>
        <f t="shared" si="3"/>
        <v>0</v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7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1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4"/>
        <v>0</v>
      </c>
      <c r="AD39" s="203">
        <f t="shared" si="5"/>
        <v>0</v>
      </c>
      <c r="AE39" s="203">
        <f t="shared" si="8"/>
        <v>0</v>
      </c>
      <c r="AF39" s="103">
        <f t="shared" si="9"/>
        <v>0</v>
      </c>
      <c r="AG39" s="103">
        <f t="shared" si="10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46230</v>
      </c>
      <c r="C40" s="82">
        <f t="shared" si="6"/>
        <v>46230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7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1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4"/>
        <v>0</v>
      </c>
      <c r="AD40" s="203">
        <f t="shared" si="5"/>
        <v>0</v>
      </c>
      <c r="AE40" s="203">
        <f t="shared" si="8"/>
        <v>0</v>
      </c>
      <c r="AF40" s="103">
        <f t="shared" si="9"/>
        <v>0</v>
      </c>
      <c r="AG40" s="103">
        <f t="shared" si="10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46231</v>
      </c>
      <c r="C41" s="82">
        <f t="shared" si="6"/>
        <v>46231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7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1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4"/>
        <v>0</v>
      </c>
      <c r="AD41" s="203">
        <f t="shared" si="5"/>
        <v>0</v>
      </c>
      <c r="AE41" s="203">
        <f t="shared" si="8"/>
        <v>0</v>
      </c>
      <c r="AF41" s="103">
        <f t="shared" si="9"/>
        <v>0</v>
      </c>
      <c r="AG41" s="103">
        <f t="shared" si="10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46232</v>
      </c>
      <c r="C42" s="82">
        <f>C41+1</f>
        <v>46232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7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1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4"/>
        <v>0</v>
      </c>
      <c r="AD42" s="203">
        <f t="shared" si="5"/>
        <v>0</v>
      </c>
      <c r="AE42" s="203">
        <f t="shared" si="8"/>
        <v>0</v>
      </c>
      <c r="AF42" s="103">
        <f t="shared" si="9"/>
        <v>0</v>
      </c>
      <c r="AG42" s="103">
        <f t="shared" si="10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46233</v>
      </c>
      <c r="C43" s="83">
        <f>C42+1</f>
        <v>46233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7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1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4"/>
        <v>0</v>
      </c>
      <c r="AD43" s="203">
        <f t="shared" si="5"/>
        <v>0</v>
      </c>
      <c r="AE43" s="203">
        <f t="shared" si="8"/>
        <v>0</v>
      </c>
      <c r="AF43" s="103">
        <f t="shared" si="9"/>
        <v>0</v>
      </c>
      <c r="AG43" s="103">
        <f t="shared" si="10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46234</v>
      </c>
      <c r="C44" s="150">
        <f>C43+1</f>
        <v>46234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7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1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4"/>
        <v>0</v>
      </c>
      <c r="AD44" s="203">
        <f t="shared" si="5"/>
        <v>0</v>
      </c>
      <c r="AE44" s="203">
        <f t="shared" si="8"/>
        <v>0</v>
      </c>
      <c r="AF44" s="103">
        <f t="shared" si="9"/>
        <v>0</v>
      </c>
      <c r="AG44" s="103">
        <f t="shared" si="10"/>
        <v>0</v>
      </c>
      <c r="AH44" s="103">
        <f>IF(E44="",0,VLOOKUP(E44,Datenblatt!$E$2:$G$28,3,FALSE))</f>
        <v>0</v>
      </c>
    </row>
    <row r="45" spans="1:34" ht="13" customHeigh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1">SUM(N14:N44)</f>
        <v>0</v>
      </c>
      <c r="O45" s="210">
        <f t="shared" si="11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S46" s="7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"&amp;Start!$B$22</f>
        <v>Verrechnung von Sonderzahlungen, Überstunden, Nachtgutstunden und Nachtdiensten erfolgt im Folgemonat August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"&amp;Start!$B$21</f>
        <v>Monatsprofil Juli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IF(OR(Start!$D$8=Gehalt!$K$37,Start!$D$8=Gehalt!$K$39,Start!$D$8=Gehalt!$K$41),Gehalt!$I$29,0)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("&amp;""&amp;Gehalt!$I$25&amp;""&amp;"€/h)"</f>
        <v>9545 Nachtdienstpauschale Gesamt (31,48€/h)</v>
      </c>
      <c r="H52" s="141"/>
      <c r="I52" s="141"/>
      <c r="J52" s="141"/>
      <c r="K52" s="245">
        <f>SUM($AF$14:$AG$44)</f>
        <v>0</v>
      </c>
      <c r="L52" s="215">
        <f>$K$52*Gehalt!$I$25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("&amp;""&amp;Gehalt!$I$26&amp;""&amp;"€/h)"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$K$53*Gehalt!$I$26</f>
        <v>0</v>
      </c>
      <c r="N53" s="538" t="s">
        <v>237</v>
      </c>
      <c r="O53" s="539"/>
      <c r="P53" s="318">
        <f>VLOOKUP($B$8,Datenblatt!$A$100:$I$112,3,FALSE)</f>
        <v>0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23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IF(Juni!$P$63-SUM(Start!$E$16:$E$21)*2&lt;=0,0,Juni!$P$63-SUM(Start!$E$16:$E$21)*2)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23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$K$57*Gehalt!$I$28</f>
        <v>0</v>
      </c>
      <c r="N57" s="538" t="s">
        <v>235</v>
      </c>
      <c r="O57" s="539"/>
      <c r="P57" s="318">
        <f>VLOOKUP($B$8,Datenblatt!$A$100:$I$112,6,FALSE)</f>
        <v>184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IF($J$58="ja",Gehalt!$I$27,0)</f>
        <v>0</v>
      </c>
      <c r="N58" s="546" t="str">
        <f>"Stundenkonto Monatsende"&amp;" "&amp;Start!$B$21</f>
        <v>Stundenkonto Monatsende Juli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Start!$C$32+SUM(Jänner:Juli!$D$51)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Start!$C$33+SUM(Jänner:Juli!$D$52)+SUM(Jänner:Juli!$E$52)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Start!$C$34+SUM(Jänner:Juli!$D$53)+SUM(Jänner:Juli!$E$53)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Start!$C$35+SUM(Jänner:Juli!$D$54)+SUM(Jänner:Juli!$E$54)-SUM(Jänner:Juli!$K$56)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SUM(Jänner:Juli!$D$51)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SUM(Jänner:Juli!$D$52)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SUM(Jänner:Juli!$D$53)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SUM(Jänner:Juli!$D$54)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SUM(Jänner:Juli!$B$56)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SUM(Jänner:Juli!$B$57)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SUM(Jänner:Juli!$B$58)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184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vXmD4zHLGMht/mAPUE3pN/rxxPsYemnY68tqjwvdpn5nI1ck9WWZip0Q4kuxaMxlIAlj9bnA18te0DMo3kKdDw==" saltValue="qLUpNb+YSqXVkJNyP980xg==" spinCount="100000" sheet="1" selectLockedCells="1"/>
  <mergeCells count="63">
    <mergeCell ref="L48:O48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61:O61"/>
    <mergeCell ref="C50:D50"/>
    <mergeCell ref="G54:I54"/>
    <mergeCell ref="N50:P51"/>
    <mergeCell ref="N58:P59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4">
    <cfRule type="cellIs" dxfId="331" priority="8" operator="equal">
      <formula>"HFT"</formula>
    </cfRule>
    <cfRule type="cellIs" dxfId="330" priority="9" operator="equal">
      <formula>"FT"</formula>
    </cfRule>
  </conditionalFormatting>
  <conditionalFormatting sqref="A45">
    <cfRule type="cellIs" dxfId="329" priority="280" operator="equal">
      <formula>"Ft"</formula>
    </cfRule>
  </conditionalFormatting>
  <conditionalFormatting sqref="B13:C44">
    <cfRule type="expression" dxfId="328" priority="281">
      <formula>WEEKDAY($C13,2)&gt;5</formula>
    </cfRule>
  </conditionalFormatting>
  <conditionalFormatting sqref="E8">
    <cfRule type="cellIs" dxfId="326" priority="43" operator="greaterThan">
      <formula>48</formula>
    </cfRule>
  </conditionalFormatting>
  <conditionalFormatting sqref="I47:K47">
    <cfRule type="cellIs" dxfId="325" priority="107" operator="equal">
      <formula>"Wochenarbeitszeit überschritten"</formula>
    </cfRule>
  </conditionalFormatting>
  <conditionalFormatting sqref="J45:P45">
    <cfRule type="cellIs" dxfId="324" priority="149" operator="equal">
      <formula>0</formula>
    </cfRule>
  </conditionalFormatting>
  <conditionalFormatting sqref="K8">
    <cfRule type="cellIs" dxfId="323" priority="196" operator="equal">
      <formula>$N$8</formula>
    </cfRule>
    <cfRule type="cellIs" dxfId="322" priority="197" operator="greaterThan">
      <formula>$N$8</formula>
    </cfRule>
    <cfRule type="cellIs" dxfId="321" priority="198" operator="lessThan">
      <formula>$N$8</formula>
    </cfRule>
  </conditionalFormatting>
  <conditionalFormatting sqref="K14:K44">
    <cfRule type="cellIs" dxfId="320" priority="31" operator="lessThanOrEqual">
      <formula>0</formula>
    </cfRule>
    <cfRule type="cellIs" dxfId="319" priority="32" operator="greaterThan">
      <formula>0</formula>
    </cfRule>
  </conditionalFormatting>
  <conditionalFormatting sqref="K45">
    <cfRule type="cellIs" dxfId="318" priority="201" operator="lessThan">
      <formula>0</formula>
    </cfRule>
  </conditionalFormatting>
  <conditionalFormatting sqref="N14:O44">
    <cfRule type="cellIs" dxfId="317" priority="11" operator="equal">
      <formula>0</formula>
    </cfRule>
  </conditionalFormatting>
  <conditionalFormatting sqref="P13:P44">
    <cfRule type="cellIs" dxfId="316" priority="2" operator="equal">
      <formula>0</formula>
    </cfRule>
  </conditionalFormatting>
  <conditionalFormatting sqref="P60:P63">
    <cfRule type="cellIs" dxfId="315" priority="58" operator="lessThan">
      <formula>0</formula>
    </cfRule>
  </conditionalFormatting>
  <conditionalFormatting sqref="Q47">
    <cfRule type="cellIs" dxfId="314" priority="47" operator="equal">
      <formula>0</formula>
    </cfRule>
  </conditionalFormatting>
  <conditionalFormatting sqref="T14:T44">
    <cfRule type="cellIs" dxfId="313" priority="260" operator="equal">
      <formula>0</formula>
    </cfRule>
  </conditionalFormatting>
  <conditionalFormatting sqref="T45:W45">
    <cfRule type="cellIs" dxfId="312" priority="143" operator="equal">
      <formula>0</formula>
    </cfRule>
  </conditionalFormatting>
  <conditionalFormatting sqref="T51:W51">
    <cfRule type="cellIs" dxfId="311" priority="25" operator="equal">
      <formula>0</formula>
    </cfRule>
  </conditionalFormatting>
  <conditionalFormatting sqref="U15:W44">
    <cfRule type="cellIs" dxfId="310" priority="233" operator="equal">
      <formula>0</formula>
    </cfRule>
  </conditionalFormatting>
  <conditionalFormatting sqref="U51:Y53">
    <cfRule type="cellIs" dxfId="309" priority="15" operator="equal">
      <formula>0</formula>
    </cfRule>
  </conditionalFormatting>
  <conditionalFormatting sqref="V14">
    <cfRule type="cellIs" dxfId="308" priority="261" operator="equal">
      <formula>0</formula>
    </cfRule>
  </conditionalFormatting>
  <conditionalFormatting sqref="V13:W13">
    <cfRule type="cellIs" dxfId="307" priority="159" operator="equal">
      <formula>0</formula>
    </cfRule>
  </conditionalFormatting>
  <conditionalFormatting sqref="W52">
    <cfRule type="cellIs" dxfId="306" priority="19" operator="equal">
      <formula>0</formula>
    </cfRule>
  </conditionalFormatting>
  <conditionalFormatting sqref="X13:Y45">
    <cfRule type="cellIs" dxfId="305" priority="59" operator="equal">
      <formula>0</formula>
    </cfRule>
  </conditionalFormatting>
  <conditionalFormatting sqref="Z13:Z44">
    <cfRule type="cellIs" dxfId="304" priority="160" operator="equal">
      <formula>0</formula>
    </cfRule>
  </conditionalFormatting>
  <conditionalFormatting sqref="Z51:AC51">
    <cfRule type="cellIs" dxfId="303" priority="23" operator="equal">
      <formula>0</formula>
    </cfRule>
  </conditionalFormatting>
  <conditionalFormatting sqref="Z45:AD45">
    <cfRule type="cellIs" dxfId="302" priority="141" operator="equal">
      <formula>0</formula>
    </cfRule>
  </conditionalFormatting>
  <conditionalFormatting sqref="AA14:AB44">
    <cfRule type="cellIs" dxfId="301" priority="33" operator="equal">
      <formula>0</formula>
    </cfRule>
  </conditionalFormatting>
  <conditionalFormatting sqref="AA51:AE52">
    <cfRule type="cellIs" dxfId="300" priority="5" operator="equal">
      <formula>0</formula>
    </cfRule>
  </conditionalFormatting>
  <conditionalFormatting sqref="AC13:AD44">
    <cfRule type="cellIs" dxfId="299" priority="114" operator="equal">
      <formula>0</formula>
    </cfRule>
  </conditionalFormatting>
  <conditionalFormatting sqref="AE13:AE45">
    <cfRule type="cellIs" dxfId="298" priority="1" operator="equal">
      <formula>0</formula>
    </cfRule>
  </conditionalFormatting>
  <conditionalFormatting sqref="AF13:AG44">
    <cfRule type="cellIs" dxfId="297" priority="73" operator="equal">
      <formula>0</formula>
    </cfRule>
  </conditionalFormatting>
  <conditionalFormatting sqref="AG51:AH51">
    <cfRule type="cellIs" dxfId="296" priority="14" operator="equal">
      <formula>0</formula>
    </cfRule>
  </conditionalFormatting>
  <conditionalFormatting sqref="AH14:AH44">
    <cfRule type="cellIs" dxfId="295" priority="28" operator="equal">
      <formula>0</formula>
    </cfRule>
  </conditionalFormatting>
  <conditionalFormatting sqref="AH51:AH52">
    <cfRule type="cellIs" dxfId="294" priority="12" operator="equal">
      <formula>0</formula>
    </cfRule>
  </conditionalFormatting>
  <dataValidations count="4">
    <dataValidation type="list" allowBlank="1" showInputMessage="1" showErrorMessage="1" sqref="J14:J44" xr:uid="{EB7F43A9-45A9-4B6E-AF57-4B6AE4134F0B}">
      <formula1>AbwesenheitenStunden</formula1>
    </dataValidation>
    <dataValidation type="list" allowBlank="1" showInputMessage="1" showErrorMessage="1" error="Die Eingabe ist unzulässig_x000a_Bitte Drop Down Felder verwenden" sqref="F14:G44" xr:uid="{C61063CA-E8DA-49DB-9DC8-1C84F6C52761}">
      <formula1>Zeiten1</formula1>
    </dataValidation>
    <dataValidation type="decimal" allowBlank="1" showInputMessage="1" showErrorMessage="1" error="Die ausgewählte Stundenanzahl steht nicht zur Verfügung!" sqref="J54" xr:uid="{F8A62367-A2ED-43BD-8F0A-526B82DA069E}">
      <formula1>0</formula1>
      <formula2>K54</formula2>
    </dataValidation>
    <dataValidation type="list" allowBlank="1" showInputMessage="1" showErrorMessage="1" sqref="H14:I44" xr:uid="{787658F0-EBF8-4F26-82D6-3D28A8D8F5A2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3" id="{725B998E-53CC-43DA-98E4-A85A74C84225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9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8CE9AEAB-3E95-4E87-88B6-4302914970DE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A6F3AA7D-F8C6-4CDD-BE01-1788F511C370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64E6477C-7907-402A-9260-D5BA63AFAF67}">
          <x14:formula1>
            <xm:f>Datenblatt!$D$58:$D$59</xm:f>
          </x14:formula1>
          <xm:sqref>P47 J58</xm:sqref>
        </x14:dataValidation>
        <x14:dataValidation type="list" allowBlank="1" showInputMessage="1" showErrorMessage="1" xr:uid="{ABD9059E-48BF-4A22-B7EF-5D7DB941A434}">
          <x14:formula1>
            <xm:f>Datenblatt!$D$52:$D$53</xm:f>
          </x14:formula1>
          <xm:sqref>P48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IF(SUM(N14:O44,L13:L44,AA51:AD51,AA52:AB52)=0,Datenblatt!J107,SUM(N14:O44,L13:L44,AA51:AD51,AA52:AB52,AH51:AH52))</f>
        <v>201.60000000000002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DATE($D$8,8,1)</f>
        <v>46235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168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46234</v>
      </c>
      <c r="C13" s="139">
        <f>C14-1</f>
        <v>46234</v>
      </c>
      <c r="D13" s="143" t="str">
        <f>IF(Juli!D$44="","",Juli!D$44)</f>
        <v/>
      </c>
      <c r="E13" s="140" t="str">
        <f>IF(Juli!E$44="","",Juli!E$44)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220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46235</v>
      </c>
      <c r="C14" s="81">
        <f>DATE($D$8,MONTH(B$8),1)</f>
        <v>46235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46236</v>
      </c>
      <c r="C15" s="82">
        <f t="shared" ref="C15:C41" si="4">C14+1</f>
        <v>46236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>
        <f t="shared" si="3"/>
        <v>0</v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5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ref="Z15:Z44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7">IF(OR(E15="ND",E15="ND12,5"),2,0)</f>
        <v>0</v>
      </c>
      <c r="AD15" s="203">
        <f t="shared" ref="AD15:AD44" si="8">IF(OR(E14="ND",E14="ND12,5"),6,0)</f>
        <v>0</v>
      </c>
      <c r="AE15" s="203">
        <f t="shared" ref="AE15:AE44" si="9">IF(AND(E14="ND",AA15&gt;=2),1,IF(AND(E14="ND12,5",AA15&gt;=2),0.5,0))</f>
        <v>0</v>
      </c>
      <c r="AF15" s="103">
        <f t="shared" ref="AF15:AF44" si="10">IF(OR(D15="ND",D15="ND12,5"),2-X15,0)</f>
        <v>0</v>
      </c>
      <c r="AG15" s="103">
        <f t="shared" ref="AG15:AG44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46237</v>
      </c>
      <c r="C16" s="82">
        <f t="shared" si="4"/>
        <v>46237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46238</v>
      </c>
      <c r="C17" s="82">
        <f t="shared" si="4"/>
        <v>46238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46239</v>
      </c>
      <c r="C18" s="82">
        <f t="shared" si="4"/>
        <v>46239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46240</v>
      </c>
      <c r="C19" s="82">
        <f t="shared" si="4"/>
        <v>46240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46241</v>
      </c>
      <c r="C20" s="82">
        <f t="shared" si="4"/>
        <v>46241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46242</v>
      </c>
      <c r="C21" s="82">
        <f t="shared" si="4"/>
        <v>46242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46243</v>
      </c>
      <c r="C22" s="82">
        <f t="shared" si="4"/>
        <v>46243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>
        <f t="shared" si="3"/>
        <v>0</v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46244</v>
      </c>
      <c r="C23" s="82">
        <f t="shared" si="4"/>
        <v>46244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46245</v>
      </c>
      <c r="C24" s="82">
        <f t="shared" si="4"/>
        <v>46245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46246</v>
      </c>
      <c r="C25" s="82">
        <f t="shared" si="4"/>
        <v>46246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46247</v>
      </c>
      <c r="C26" s="82">
        <f t="shared" si="4"/>
        <v>46247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46248</v>
      </c>
      <c r="C27" s="82">
        <f t="shared" si="4"/>
        <v>46248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>Ft</v>
      </c>
      <c r="B28" s="80">
        <f t="shared" si="0"/>
        <v>46249</v>
      </c>
      <c r="C28" s="82">
        <f t="shared" si="4"/>
        <v>46249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>
        <f t="shared" si="3"/>
        <v>0</v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46250</v>
      </c>
      <c r="C29" s="82">
        <f t="shared" si="4"/>
        <v>46250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>
        <f t="shared" si="3"/>
        <v>0</v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46251</v>
      </c>
      <c r="C30" s="82">
        <f t="shared" si="4"/>
        <v>46251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46252</v>
      </c>
      <c r="C31" s="82">
        <f t="shared" si="4"/>
        <v>46252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46253</v>
      </c>
      <c r="C32" s="82">
        <f t="shared" si="4"/>
        <v>46253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46254</v>
      </c>
      <c r="C33" s="82">
        <f t="shared" si="4"/>
        <v>46254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46255</v>
      </c>
      <c r="C34" s="82">
        <f t="shared" si="4"/>
        <v>46255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46256</v>
      </c>
      <c r="C35" s="82">
        <f t="shared" si="4"/>
        <v>46256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46257</v>
      </c>
      <c r="C36" s="82">
        <f t="shared" si="4"/>
        <v>46257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>
        <f t="shared" si="3"/>
        <v>0</v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46258</v>
      </c>
      <c r="C37" s="82">
        <f t="shared" si="4"/>
        <v>46258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46259</v>
      </c>
      <c r="C38" s="82">
        <f t="shared" si="4"/>
        <v>46259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46260</v>
      </c>
      <c r="C39" s="82">
        <f t="shared" si="4"/>
        <v>46260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46261</v>
      </c>
      <c r="C40" s="82">
        <f t="shared" si="4"/>
        <v>46261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46262</v>
      </c>
      <c r="C41" s="82">
        <f t="shared" si="4"/>
        <v>46262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46263</v>
      </c>
      <c r="C42" s="82">
        <f>C41+1</f>
        <v>46263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5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46264</v>
      </c>
      <c r="C43" s="83">
        <f>C42+1</f>
        <v>46264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>
        <f t="shared" si="3"/>
        <v>0</v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46265</v>
      </c>
      <c r="C44" s="150">
        <f>C43+1</f>
        <v>46265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5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6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7"/>
        <v>0</v>
      </c>
      <c r="AD44" s="203">
        <f t="shared" si="8"/>
        <v>0</v>
      </c>
      <c r="AE44" s="203">
        <f t="shared" si="9"/>
        <v>0</v>
      </c>
      <c r="AF44" s="103">
        <f t="shared" si="10"/>
        <v>0</v>
      </c>
      <c r="AG44" s="103">
        <f t="shared" si="11"/>
        <v>0</v>
      </c>
      <c r="AH44" s="103">
        <f>IF(E44="",0,VLOOKUP(E44,Datenblatt!$E$2:$G$28,3,FALSE))</f>
        <v>0</v>
      </c>
    </row>
    <row r="45" spans="1:34" ht="13" customHeight="1" thickBo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2">SUM(N14:N44)</f>
        <v>0</v>
      </c>
      <c r="O45" s="210">
        <f t="shared" si="12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"&amp;Start!$B$23</f>
        <v>Verrechnung von Sonderzahlungen, Überstunden, Nachtgutstunden und Nachtdiensten erfolgt im Folgemonat September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"&amp;Start!$B$22</f>
        <v>Monatsprofil August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IF(OR(Start!$D$8=Gehalt!$K$37,Start!$D$8=Gehalt!$K$39,Start!$D$8=Gehalt!$K$41),Gehalt!$J$29,0)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("&amp;""&amp;Gehalt!$J$25&amp;""&amp;"€/h)"</f>
        <v>9545 Nachtdienstpauschale Gesamt (31,48€/h)</v>
      </c>
      <c r="H52" s="141"/>
      <c r="I52" s="141"/>
      <c r="J52" s="141"/>
      <c r="K52" s="245">
        <f>SUM($AF$14:$AG$44)</f>
        <v>0</v>
      </c>
      <c r="L52" s="215">
        <f>$K$52*Gehalt!$J$25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("&amp;""&amp;Gehalt!$J$26&amp;""&amp;"€/h)"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$K$53*Gehalt!$J$26</f>
        <v>0</v>
      </c>
      <c r="N53" s="538" t="s">
        <v>237</v>
      </c>
      <c r="O53" s="539"/>
      <c r="P53" s="318">
        <f>VLOOKUP($B$8,Datenblatt!$A$100:$I$112,3,FALSE)</f>
        <v>1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10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21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IF(Juli!$P$63-SUM(Start!$E$17:$E$22)*2&lt;=0,0,Juli!$P$63-SUM(Start!$E$17:$E$22)*2)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21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$K$57*Gehalt!$J$28</f>
        <v>0</v>
      </c>
      <c r="N57" s="538" t="s">
        <v>235</v>
      </c>
      <c r="O57" s="539"/>
      <c r="P57" s="318">
        <f>VLOOKUP($B$8,Datenblatt!$A$100:$I$112,6,FALSE)</f>
        <v>168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IF($J$58="ja",Gehalt!$J$27,0)</f>
        <v>0</v>
      </c>
      <c r="N58" s="546" t="str">
        <f>"Stundenkonto Monatsende"&amp;" "&amp;Start!$B$22</f>
        <v>Stundenkonto Monatsende August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Start!$C$32+SUM(Jänner:August!$D$51)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Start!$C$33+SUM(Jänner:August!$D$52)+SUM(Jänner:August!$E$52)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Start!$C$34+SUM(Jänner:August!$D$53)+SUM(Jänner:August!$E$53)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Start!$C$35+SUM(Jänner:August!$D$54)+SUM(Jänner:August!$E$54)-SUM(Jänner:August!$K$56)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SUM(Jänner:August!$D$51)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SUM(Jänner:August!$D$52)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SUM(Jänner:August!$D$53)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SUM(Jänner:August!$D$54)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SUM(Jänner:August!$B$56)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SUM(Jänner:August!$B$57)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SUM(Jänner:August!$B$58)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168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d6LbLJGUllhxPMTWjYYJSQPjfeI7NSljTz8+UutXFy+G72wXfb5jGIQ9xRdz273/VfttCQ+XrQ4eUoeBujP9Ww==" saltValue="nQfkcWyi/ubMI5aMvS+5Jg==" spinCount="100000" sheet="1" selectLockedCells="1"/>
  <mergeCells count="63">
    <mergeCell ref="L48:O48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61:O61"/>
    <mergeCell ref="C50:D50"/>
    <mergeCell ref="G54:I54"/>
    <mergeCell ref="N50:P51"/>
    <mergeCell ref="N58:P59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4">
    <cfRule type="cellIs" dxfId="293" priority="8" operator="equal">
      <formula>"HFT"</formula>
    </cfRule>
    <cfRule type="cellIs" dxfId="292" priority="9" operator="equal">
      <formula>"FT"</formula>
    </cfRule>
  </conditionalFormatting>
  <conditionalFormatting sqref="A45">
    <cfRule type="cellIs" dxfId="291" priority="283" operator="equal">
      <formula>"Ft"</formula>
    </cfRule>
  </conditionalFormatting>
  <conditionalFormatting sqref="B13:C44">
    <cfRule type="expression" dxfId="290" priority="284">
      <formula>WEEKDAY($C13,2)&gt;5</formula>
    </cfRule>
  </conditionalFormatting>
  <conditionalFormatting sqref="E8">
    <cfRule type="cellIs" dxfId="288" priority="43" operator="greaterThan">
      <formula>48</formula>
    </cfRule>
  </conditionalFormatting>
  <conditionalFormatting sqref="I47:K47">
    <cfRule type="cellIs" dxfId="287" priority="112" operator="equal">
      <formula>"Wochenarbeitszeit überschritten"</formula>
    </cfRule>
  </conditionalFormatting>
  <conditionalFormatting sqref="J45:P45">
    <cfRule type="cellIs" dxfId="286" priority="153" operator="equal">
      <formula>0</formula>
    </cfRule>
  </conditionalFormatting>
  <conditionalFormatting sqref="K8">
    <cfRule type="cellIs" dxfId="285" priority="200" operator="equal">
      <formula>$N$8</formula>
    </cfRule>
    <cfRule type="cellIs" dxfId="284" priority="201" operator="greaterThan">
      <formula>$N$8</formula>
    </cfRule>
    <cfRule type="cellIs" dxfId="283" priority="202" operator="lessThan">
      <formula>$N$8</formula>
    </cfRule>
  </conditionalFormatting>
  <conditionalFormatting sqref="K14:K44">
    <cfRule type="cellIs" dxfId="282" priority="31" operator="lessThanOrEqual">
      <formula>0</formula>
    </cfRule>
    <cfRule type="cellIs" dxfId="281" priority="32" operator="greaterThan">
      <formula>0</formula>
    </cfRule>
  </conditionalFormatting>
  <conditionalFormatting sqref="K45">
    <cfRule type="cellIs" dxfId="280" priority="205" operator="lessThan">
      <formula>0</formula>
    </cfRule>
  </conditionalFormatting>
  <conditionalFormatting sqref="N14:O44">
    <cfRule type="cellIs" dxfId="279" priority="11" operator="equal">
      <formula>0</formula>
    </cfRule>
  </conditionalFormatting>
  <conditionalFormatting sqref="P13:P44">
    <cfRule type="cellIs" dxfId="278" priority="2" operator="equal">
      <formula>0</formula>
    </cfRule>
  </conditionalFormatting>
  <conditionalFormatting sqref="P60:P63">
    <cfRule type="cellIs" dxfId="277" priority="58" operator="lessThan">
      <formula>0</formula>
    </cfRule>
  </conditionalFormatting>
  <conditionalFormatting sqref="Q47">
    <cfRule type="cellIs" dxfId="276" priority="47" operator="equal">
      <formula>0</formula>
    </cfRule>
  </conditionalFormatting>
  <conditionalFormatting sqref="T14:T44">
    <cfRule type="cellIs" dxfId="275" priority="263" operator="equal">
      <formula>0</formula>
    </cfRule>
  </conditionalFormatting>
  <conditionalFormatting sqref="T45:W45">
    <cfRule type="cellIs" dxfId="274" priority="147" operator="equal">
      <formula>0</formula>
    </cfRule>
  </conditionalFormatting>
  <conditionalFormatting sqref="T51:W51">
    <cfRule type="cellIs" dxfId="273" priority="25" operator="equal">
      <formula>0</formula>
    </cfRule>
  </conditionalFormatting>
  <conditionalFormatting sqref="U15:W44">
    <cfRule type="cellIs" dxfId="272" priority="237" operator="equal">
      <formula>0</formula>
    </cfRule>
  </conditionalFormatting>
  <conditionalFormatting sqref="U51:Y53">
    <cfRule type="cellIs" dxfId="271" priority="15" operator="equal">
      <formula>0</formula>
    </cfRule>
  </conditionalFormatting>
  <conditionalFormatting sqref="V14">
    <cfRule type="cellIs" dxfId="270" priority="264" operator="equal">
      <formula>0</formula>
    </cfRule>
  </conditionalFormatting>
  <conditionalFormatting sqref="V13:W13">
    <cfRule type="cellIs" dxfId="269" priority="163" operator="equal">
      <formula>0</formula>
    </cfRule>
  </conditionalFormatting>
  <conditionalFormatting sqref="W52">
    <cfRule type="cellIs" dxfId="268" priority="19" operator="equal">
      <formula>0</formula>
    </cfRule>
  </conditionalFormatting>
  <conditionalFormatting sqref="X13:Y45">
    <cfRule type="cellIs" dxfId="267" priority="59" operator="equal">
      <formula>0</formula>
    </cfRule>
  </conditionalFormatting>
  <conditionalFormatting sqref="Z13:Z44">
    <cfRule type="cellIs" dxfId="266" priority="164" operator="equal">
      <formula>0</formula>
    </cfRule>
  </conditionalFormatting>
  <conditionalFormatting sqref="Z51:AC51">
    <cfRule type="cellIs" dxfId="265" priority="23" operator="equal">
      <formula>0</formula>
    </cfRule>
  </conditionalFormatting>
  <conditionalFormatting sqref="Z45:AD45">
    <cfRule type="cellIs" dxfId="264" priority="145" operator="equal">
      <formula>0</formula>
    </cfRule>
  </conditionalFormatting>
  <conditionalFormatting sqref="AA14:AB44">
    <cfRule type="cellIs" dxfId="263" priority="33" operator="equal">
      <formula>0</formula>
    </cfRule>
  </conditionalFormatting>
  <conditionalFormatting sqref="AA51:AE52">
    <cfRule type="cellIs" dxfId="262" priority="5" operator="equal">
      <formula>0</formula>
    </cfRule>
  </conditionalFormatting>
  <conditionalFormatting sqref="AC13:AD44">
    <cfRule type="cellIs" dxfId="261" priority="119" operator="equal">
      <formula>0</formula>
    </cfRule>
  </conditionalFormatting>
  <conditionalFormatting sqref="AE13:AE45">
    <cfRule type="cellIs" dxfId="260" priority="1" operator="equal">
      <formula>0</formula>
    </cfRule>
  </conditionalFormatting>
  <conditionalFormatting sqref="AF13:AG44">
    <cfRule type="cellIs" dxfId="259" priority="73" operator="equal">
      <formula>0</formula>
    </cfRule>
  </conditionalFormatting>
  <conditionalFormatting sqref="AG51:AH51">
    <cfRule type="cellIs" dxfId="258" priority="14" operator="equal">
      <formula>0</formula>
    </cfRule>
  </conditionalFormatting>
  <conditionalFormatting sqref="AH14:AH44">
    <cfRule type="cellIs" dxfId="257" priority="28" operator="equal">
      <formula>0</formula>
    </cfRule>
  </conditionalFormatting>
  <conditionalFormatting sqref="AH51:AH52">
    <cfRule type="cellIs" dxfId="256" priority="12" operator="equal">
      <formula>0</formula>
    </cfRule>
  </conditionalFormatting>
  <dataValidations count="4">
    <dataValidation type="list" allowBlank="1" showInputMessage="1" showErrorMessage="1" sqref="J14:J44" xr:uid="{94B82887-FB2E-40F4-923F-E0457B6D5FAA}">
      <formula1>AbwesenheitenStunden</formula1>
    </dataValidation>
    <dataValidation type="list" allowBlank="1" showInputMessage="1" showErrorMessage="1" error="Die Eingabe ist unzulässig_x000a_Bitte Drop Down Felder verwenden" sqref="F14:G44" xr:uid="{EE24E89A-C1F3-45D6-AED6-E8112A4B7D87}">
      <formula1>Zeiten1</formula1>
    </dataValidation>
    <dataValidation type="decimal" allowBlank="1" showInputMessage="1" showErrorMessage="1" error="Die ausgewählte Stundenanzahl steht nicht zur Verfügung!" sqref="J54" xr:uid="{022FD14F-15ED-4FB5-A84E-96215D6E6F00}">
      <formula1>0</formula1>
      <formula2>K54</formula2>
    </dataValidation>
    <dataValidation type="list" allowBlank="1" showInputMessage="1" showErrorMessage="1" sqref="H14:I44" xr:uid="{0817161E-B7B7-4484-A692-717BEDF03FC0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6" id="{ABBB313F-5701-4BAB-A21E-50525B3F53BD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A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ABECB062-B1BF-4188-AC73-4FF208BB9492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8FF1D244-75A5-4188-B967-DD727F9EADBD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ABC851BE-6B42-4CEA-9A2D-C9C4424B01DE}">
          <x14:formula1>
            <xm:f>Datenblatt!$D$58:$D$59</xm:f>
          </x14:formula1>
          <xm:sqref>P47 J58</xm:sqref>
        </x14:dataValidation>
        <x14:dataValidation type="list" allowBlank="1" showInputMessage="1" showErrorMessage="1" xr:uid="{F9F843BE-05F1-4B87-A50A-9A33E06756BA}">
          <x14:formula1>
            <xm:f>Datenblatt!$D$52:$D$53</xm:f>
          </x14:formula1>
          <xm:sqref>P48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IF(SUM(N14:O43,L13:L43,AA51:AD51,AA52:AB52)=0,Datenblatt!J108,SUM(N14:O43,L13:L43,AA51:AD51,AA52:AB52,AH51:AH52))</f>
        <v>211.20000000000002</v>
      </c>
      <c r="L6" s="555"/>
      <c r="M6" s="555"/>
      <c r="N6" s="574">
        <f>COUNTIF(D14:E43,"ND")+COUNTIF(D14:E43,"ND12,5")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DATE($D$8,9,1)</f>
        <v>46266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SUM(M13:M43)</f>
        <v>0</v>
      </c>
      <c r="L8" s="554"/>
      <c r="M8" s="554"/>
      <c r="N8" s="555">
        <f>VLOOKUP($B$8,Datenblatt!A100:F123,6,FALSE)</f>
        <v>176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3" si="0">C13</f>
        <v>46265</v>
      </c>
      <c r="C13" s="139">
        <f>C14-1</f>
        <v>46265</v>
      </c>
      <c r="D13" s="143" t="str">
        <f>IF(August!D$44="","",August!D$44)</f>
        <v/>
      </c>
      <c r="E13" s="140" t="str">
        <f>IF(August!E$44="","",August!E$44)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46266</v>
      </c>
      <c r="C14" s="81">
        <f>DATE($D$8,MONTH(B$8),1)</f>
        <v>46266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3" si="2">IF(AND(F14="",G14=""),"",IF(OR(F14&gt;G14,AND(F14="",G14&gt;0),F14=G14),"ungültig",IF(OR(WEEKDAY(B14,2)=7,A14="Ft"),0,(G14-F14)*24)))</f>
        <v/>
      </c>
      <c r="O14" s="200" t="str">
        <f t="shared" ref="O14:O43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46267</v>
      </c>
      <c r="C15" s="82">
        <f t="shared" ref="C15:C41" si="4">C14+1</f>
        <v>46267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3" si="5">IF(K15="",0,K15)</f>
        <v>0</v>
      </c>
      <c r="U15" s="105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3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3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IF(T15=0,0,IF((AND((ROW(T15)=MATCH(TRUE,($T$1:$T$43)&gt;0,0)))),IF(W15&gt;=6,W15-6,0),IF(W15&gt;=2,2,W15)))</f>
        <v>0</v>
      </c>
      <c r="Y15" s="242">
        <f t="array" ref="Y15">IF(T14=0,0,(IF((AND((ROW(T14)=MATCH(TRUE,($T$1:$T$43)&gt;0,0)))),IF(W14&gt;=6,6,W14),IF(W14&gt;=2,W14-2,0))))</f>
        <v>0</v>
      </c>
      <c r="Z15" s="102" t="str">
        <f t="shared" ref="Z15:Z43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3" si="7">IF(OR(E15="ND",E15="ND12,5"),2,0)</f>
        <v>0</v>
      </c>
      <c r="AD15" s="203">
        <f t="shared" ref="AD15:AD43" si="8">IF(OR(E14="ND",E14="ND12,5"),6,0)</f>
        <v>0</v>
      </c>
      <c r="AE15" s="203">
        <f t="shared" ref="AE15:AE43" si="9">IF(AND(E14="ND",AA15&gt;=2),1,IF(AND(E14="ND12,5",AA15&gt;=2),0.5,0))</f>
        <v>0</v>
      </c>
      <c r="AF15" s="103">
        <f t="shared" ref="AF15:AF43" si="10">IF(OR(D15="ND",D15="ND12,5"),2-X15,0)</f>
        <v>0</v>
      </c>
      <c r="AG15" s="103">
        <f t="shared" ref="AG15:AG43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46268</v>
      </c>
      <c r="C16" s="82">
        <f t="shared" si="4"/>
        <v>46268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3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3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IF(T16=0,0,IF((AND((ROW(T16)=MATCH(TRUE,($T$1:$T$43)&gt;0,0)))),IF(W16&gt;=6,W16-6,0),IF(W16&gt;=2,2,W16)))</f>
        <v>0</v>
      </c>
      <c r="Y16" s="242">
        <f t="array" ref="Y16">IF(T15=0,0,(IF((AND((ROW(T15)=MATCH(TRUE,($T$1:$T$43)&gt;0,0)))),IF(W15&gt;=6,6,W15),IF(W15&gt;=2,W15-2,0))))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46269</v>
      </c>
      <c r="C17" s="82">
        <f t="shared" si="4"/>
        <v>46269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3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3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IF(T17=0,0,IF((AND((ROW(T17)=MATCH(TRUE,($T$1:$T$43)&gt;0,0)))),IF(W17&gt;=6,W17-6,0),IF(W17&gt;=2,2,W17)))</f>
        <v>0</v>
      </c>
      <c r="Y17" s="242">
        <f t="array" ref="Y17">IF(T16=0,0,(IF((AND((ROW(T16)=MATCH(TRUE,($T$1:$T$43)&gt;0,0)))),IF(W16&gt;=6,6,W16),IF(W16&gt;=2,W16-2,0))))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46270</v>
      </c>
      <c r="C18" s="82">
        <f t="shared" si="4"/>
        <v>46270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3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3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IF(T18=0,0,IF((AND((ROW(T18)=MATCH(TRUE,($T$1:$T$43)&gt;0,0)))),IF(W18&gt;=6,W18-6,0),IF(W18&gt;=2,2,W18)))</f>
        <v>0</v>
      </c>
      <c r="Y18" s="242">
        <f t="array" ref="Y18">IF(T17=0,0,(IF((AND((ROW(T17)=MATCH(TRUE,($T$1:$T$43)&gt;0,0)))),IF(W17&gt;=6,6,W17),IF(W17&gt;=2,W17-2,0))))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46271</v>
      </c>
      <c r="C19" s="82">
        <f t="shared" si="4"/>
        <v>46271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>
        <f t="shared" si="3"/>
        <v>0</v>
      </c>
      <c r="P19" s="175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3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3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IF(T19=0,0,IF((AND((ROW(T19)=MATCH(TRUE,($T$1:$T$43)&gt;0,0)))),IF(W19&gt;=6,W19-6,0),IF(W19&gt;=2,2,W19)))</f>
        <v>0</v>
      </c>
      <c r="Y19" s="242">
        <f t="array" ref="Y19">IF(T18=0,0,(IF((AND((ROW(T18)=MATCH(TRUE,($T$1:$T$43)&gt;0,0)))),IF(W18&gt;=6,6,W18),IF(W18&gt;=2,W18-2,0))))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46272</v>
      </c>
      <c r="C20" s="82">
        <f t="shared" si="4"/>
        <v>46272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3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3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IF(T20=0,0,IF((AND((ROW(T20)=MATCH(TRUE,($T$1:$T$43)&gt;0,0)))),IF(W20&gt;=6,W20-6,0),IF(W20&gt;=2,2,W20)))</f>
        <v>0</v>
      </c>
      <c r="Y20" s="242">
        <f t="array" ref="Y20">IF(T19=0,0,(IF((AND((ROW(T19)=MATCH(TRUE,($T$1:$T$43)&gt;0,0)))),IF(W19&gt;=6,6,W19),IF(W19&gt;=2,W19-2,0))))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46273</v>
      </c>
      <c r="C21" s="82">
        <f t="shared" si="4"/>
        <v>46273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3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3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IF(T21=0,0,IF((AND((ROW(T21)=MATCH(TRUE,($T$1:$T$43)&gt;0,0)))),IF(W21&gt;=6,W21-6,0),IF(W21&gt;=2,2,W21)))</f>
        <v>0</v>
      </c>
      <c r="Y21" s="242">
        <f t="array" ref="Y21">IF(T20=0,0,(IF((AND((ROW(T20)=MATCH(TRUE,($T$1:$T$43)&gt;0,0)))),IF(W20&gt;=6,6,W20),IF(W20&gt;=2,W20-2,0))))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46274</v>
      </c>
      <c r="C22" s="82">
        <f t="shared" si="4"/>
        <v>46274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3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3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IF(T22=0,0,IF((AND((ROW(T22)=MATCH(TRUE,($T$1:$T$43)&gt;0,0)))),IF(W22&gt;=6,W22-6,0),IF(W22&gt;=2,2,W22)))</f>
        <v>0</v>
      </c>
      <c r="Y22" s="242">
        <f t="array" ref="Y22">IF(T21=0,0,(IF((AND((ROW(T21)=MATCH(TRUE,($T$1:$T$43)&gt;0,0)))),IF(W21&gt;=6,6,W21),IF(W21&gt;=2,W21-2,0))))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46275</v>
      </c>
      <c r="C23" s="82">
        <f t="shared" si="4"/>
        <v>46275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3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3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IF(T23=0,0,IF((AND((ROW(T23)=MATCH(TRUE,($T$1:$T$43)&gt;0,0)))),IF(W23&gt;=6,W23-6,0),IF(W23&gt;=2,2,W23)))</f>
        <v>0</v>
      </c>
      <c r="Y23" s="242">
        <f t="array" ref="Y23">IF(T22=0,0,(IF((AND((ROW(T22)=MATCH(TRUE,($T$1:$T$43)&gt;0,0)))),IF(W22&gt;=6,6,W22),IF(W22&gt;=2,W22-2,0))))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46276</v>
      </c>
      <c r="C24" s="82">
        <f t="shared" si="4"/>
        <v>46276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3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3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IF(T24=0,0,IF((AND((ROW(T24)=MATCH(TRUE,($T$1:$T$43)&gt;0,0)))),IF(W24&gt;=6,W24-6,0),IF(W24&gt;=2,2,W24)))</f>
        <v>0</v>
      </c>
      <c r="Y24" s="242">
        <f t="array" ref="Y24">IF(T23=0,0,(IF((AND((ROW(T23)=MATCH(TRUE,($T$1:$T$43)&gt;0,0)))),IF(W23&gt;=6,6,W23),IF(W23&gt;=2,W23-2,0))))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46277</v>
      </c>
      <c r="C25" s="82">
        <f t="shared" si="4"/>
        <v>46277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3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3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IF(T25=0,0,IF((AND((ROW(T25)=MATCH(TRUE,($T$1:$T$43)&gt;0,0)))),IF(W25&gt;=6,W25-6,0),IF(W25&gt;=2,2,W25)))</f>
        <v>0</v>
      </c>
      <c r="Y25" s="242">
        <f t="array" ref="Y25">IF(T24=0,0,(IF((AND((ROW(T24)=MATCH(TRUE,($T$1:$T$43)&gt;0,0)))),IF(W24&gt;=6,6,W24),IF(W24&gt;=2,W24-2,0))))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46278</v>
      </c>
      <c r="C26" s="82">
        <f t="shared" si="4"/>
        <v>46278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>
        <f t="shared" si="3"/>
        <v>0</v>
      </c>
      <c r="P26" s="175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3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3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IF(T26=0,0,IF((AND((ROW(T26)=MATCH(TRUE,($T$1:$T$43)&gt;0,0)))),IF(W26&gt;=6,W26-6,0),IF(W26&gt;=2,2,W26)))</f>
        <v>0</v>
      </c>
      <c r="Y26" s="242">
        <f t="array" ref="Y26">IF(T25=0,0,(IF((AND((ROW(T25)=MATCH(TRUE,($T$1:$T$43)&gt;0,0)))),IF(W25&gt;=6,6,W25),IF(W25&gt;=2,W25-2,0))))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46279</v>
      </c>
      <c r="C27" s="82">
        <f t="shared" si="4"/>
        <v>46279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3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3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IF(T27=0,0,IF((AND((ROW(T27)=MATCH(TRUE,($T$1:$T$43)&gt;0,0)))),IF(W27&gt;=6,W27-6,0),IF(W27&gt;=2,2,W27)))</f>
        <v>0</v>
      </c>
      <c r="Y27" s="242">
        <f t="array" ref="Y27">IF(T26=0,0,(IF((AND((ROW(T26)=MATCH(TRUE,($T$1:$T$43)&gt;0,0)))),IF(W26&gt;=6,6,W26),IF(W26&gt;=2,W26-2,0))))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46280</v>
      </c>
      <c r="C28" s="82">
        <f t="shared" si="4"/>
        <v>46280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3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3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IF(T28=0,0,IF((AND((ROW(T28)=MATCH(TRUE,($T$1:$T$43)&gt;0,0)))),IF(W28&gt;=6,W28-6,0),IF(W28&gt;=2,2,W28)))</f>
        <v>0</v>
      </c>
      <c r="Y28" s="242">
        <f t="array" ref="Y28">IF(T27=0,0,(IF((AND((ROW(T27)=MATCH(TRUE,($T$1:$T$43)&gt;0,0)))),IF(W27&gt;=6,6,W27),IF(W27&gt;=2,W27-2,0))))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46281</v>
      </c>
      <c r="C29" s="82">
        <f t="shared" si="4"/>
        <v>46281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3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3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IF(T29=0,0,IF((AND((ROW(T29)=MATCH(TRUE,($T$1:$T$43)&gt;0,0)))),IF(W29&gt;=6,W29-6,0),IF(W29&gt;=2,2,W29)))</f>
        <v>0</v>
      </c>
      <c r="Y29" s="242">
        <f t="array" ref="Y29">IF(T28=0,0,(IF((AND((ROW(T28)=MATCH(TRUE,($T$1:$T$43)&gt;0,0)))),IF(W28&gt;=6,6,W28),IF(W28&gt;=2,W28-2,0))))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46282</v>
      </c>
      <c r="C30" s="82">
        <f t="shared" si="4"/>
        <v>46282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3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3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IF(T30=0,0,IF((AND((ROW(T30)=MATCH(TRUE,($T$1:$T$43)&gt;0,0)))),IF(W30&gt;=6,W30-6,0),IF(W30&gt;=2,2,W30)))</f>
        <v>0</v>
      </c>
      <c r="Y30" s="242">
        <f t="array" ref="Y30">IF(T29=0,0,(IF((AND((ROW(T29)=MATCH(TRUE,($T$1:$T$43)&gt;0,0)))),IF(W29&gt;=6,6,W29),IF(W29&gt;=2,W29-2,0))))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46283</v>
      </c>
      <c r="C31" s="82">
        <f t="shared" si="4"/>
        <v>46283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3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3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IF(T31=0,0,IF((AND((ROW(T31)=MATCH(TRUE,($T$1:$T$43)&gt;0,0)))),IF(W31&gt;=6,W31-6,0),IF(W31&gt;=2,2,W31)))</f>
        <v>0</v>
      </c>
      <c r="Y31" s="242">
        <f t="array" ref="Y31">IF(T30=0,0,(IF((AND((ROW(T30)=MATCH(TRUE,($T$1:$T$43)&gt;0,0)))),IF(W30&gt;=6,6,W30),IF(W30&gt;=2,W30-2,0))))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46284</v>
      </c>
      <c r="C32" s="82">
        <f t="shared" si="4"/>
        <v>46284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3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3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IF(T32=0,0,IF((AND((ROW(T32)=MATCH(TRUE,($T$1:$T$43)&gt;0,0)))),IF(W32&gt;=6,W32-6,0),IF(W32&gt;=2,2,W32)))</f>
        <v>0</v>
      </c>
      <c r="Y32" s="242">
        <f t="array" ref="Y32">IF(T31=0,0,(IF((AND((ROW(T31)=MATCH(TRUE,($T$1:$T$43)&gt;0,0)))),IF(W31&gt;=6,6,W31),IF(W31&gt;=2,W31-2,0))))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46285</v>
      </c>
      <c r="C33" s="82">
        <f t="shared" si="4"/>
        <v>46285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>
        <f t="shared" si="3"/>
        <v>0</v>
      </c>
      <c r="P33" s="175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3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3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IF(T33=0,0,IF((AND((ROW(T33)=MATCH(TRUE,($T$1:$T$43)&gt;0,0)))),IF(W33&gt;=6,W33-6,0),IF(W33&gt;=2,2,W33)))</f>
        <v>0</v>
      </c>
      <c r="Y33" s="242">
        <f t="array" ref="Y33">IF(T32=0,0,(IF((AND((ROW(T32)=MATCH(TRUE,($T$1:$T$43)&gt;0,0)))),IF(W32&gt;=6,6,W32),IF(W32&gt;=2,W32-2,0))))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46286</v>
      </c>
      <c r="C34" s="82">
        <f t="shared" si="4"/>
        <v>46286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3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3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IF(T34=0,0,IF((AND((ROW(T34)=MATCH(TRUE,($T$1:$T$43)&gt;0,0)))),IF(W34&gt;=6,W34-6,0),IF(W34&gt;=2,2,W34)))</f>
        <v>0</v>
      </c>
      <c r="Y34" s="242">
        <f t="array" ref="Y34">IF(T33=0,0,(IF((AND((ROW(T33)=MATCH(TRUE,($T$1:$T$43)&gt;0,0)))),IF(W33&gt;=6,6,W33),IF(W33&gt;=2,W33-2,0))))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46287</v>
      </c>
      <c r="C35" s="82">
        <f t="shared" si="4"/>
        <v>46287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3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3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IF(T35=0,0,IF((AND((ROW(T35)=MATCH(TRUE,($T$1:$T$43)&gt;0,0)))),IF(W35&gt;=6,W35-6,0),IF(W35&gt;=2,2,W35)))</f>
        <v>0</v>
      </c>
      <c r="Y35" s="242">
        <f t="array" ref="Y35">IF(T34=0,0,(IF((AND((ROW(T34)=MATCH(TRUE,($T$1:$T$43)&gt;0,0)))),IF(W34&gt;=6,6,W34),IF(W34&gt;=2,W34-2,0))))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46288</v>
      </c>
      <c r="C36" s="82">
        <f t="shared" si="4"/>
        <v>46288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3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3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IF(T36=0,0,IF((AND((ROW(T36)=MATCH(TRUE,($T$1:$T$43)&gt;0,0)))),IF(W36&gt;=6,W36-6,0),IF(W36&gt;=2,2,W36)))</f>
        <v>0</v>
      </c>
      <c r="Y36" s="242">
        <f t="array" ref="Y36">IF(T35=0,0,(IF((AND((ROW(T35)=MATCH(TRUE,($T$1:$T$43)&gt;0,0)))),IF(W35&gt;=6,6,W35),IF(W35&gt;=2,W35-2,0))))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46289</v>
      </c>
      <c r="C37" s="82">
        <f t="shared" si="4"/>
        <v>46289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3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3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IF(T37=0,0,IF((AND((ROW(T37)=MATCH(TRUE,($T$1:$T$43)&gt;0,0)))),IF(W37&gt;=6,W37-6,0),IF(W37&gt;=2,2,W37)))</f>
        <v>0</v>
      </c>
      <c r="Y37" s="242">
        <f t="array" ref="Y37">IF(T36=0,0,(IF((AND((ROW(T36)=MATCH(TRUE,($T$1:$T$43)&gt;0,0)))),IF(W36&gt;=6,6,W36),IF(W36&gt;=2,W36-2,0))))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46290</v>
      </c>
      <c r="C38" s="82">
        <f t="shared" si="4"/>
        <v>46290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3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3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IF(T38=0,0,IF((AND((ROW(T38)=MATCH(TRUE,($T$1:$T$43)&gt;0,0)))),IF(W38&gt;=6,W38-6,0),IF(W38&gt;=2,2,W38)))</f>
        <v>0</v>
      </c>
      <c r="Y38" s="242">
        <f t="array" ref="Y38">IF(T37=0,0,(IF((AND((ROW(T37)=MATCH(TRUE,($T$1:$T$43)&gt;0,0)))),IF(W37&gt;=6,6,W37),IF(W37&gt;=2,W37-2,0))))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46291</v>
      </c>
      <c r="C39" s="82">
        <f t="shared" si="4"/>
        <v>46291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3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3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IF(T39=0,0,IF((AND((ROW(T39)=MATCH(TRUE,($T$1:$T$43)&gt;0,0)))),IF(W39&gt;=6,W39-6,0),IF(W39&gt;=2,2,W39)))</f>
        <v>0</v>
      </c>
      <c r="Y39" s="242">
        <f t="array" ref="Y39">IF(T38=0,0,(IF((AND((ROW(T38)=MATCH(TRUE,($T$1:$T$43)&gt;0,0)))),IF(W38&gt;=6,6,W38),IF(W38&gt;=2,W38-2,0))))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46292</v>
      </c>
      <c r="C40" s="82">
        <f t="shared" si="4"/>
        <v>46292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>
        <f t="shared" si="3"/>
        <v>0</v>
      </c>
      <c r="P40" s="175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3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3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IF(T40=0,0,IF((AND((ROW(T40)=MATCH(TRUE,($T$1:$T$43)&gt;0,0)))),IF(W40&gt;=6,W40-6,0),IF(W40&gt;=2,2,W40)))</f>
        <v>0</v>
      </c>
      <c r="Y40" s="242">
        <f t="array" ref="Y40">IF(T39=0,0,(IF((AND((ROW(T39)=MATCH(TRUE,($T$1:$T$43)&gt;0,0)))),IF(W39&gt;=6,6,W39),IF(W39&gt;=2,W39-2,0))))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46293</v>
      </c>
      <c r="C41" s="82">
        <f t="shared" si="4"/>
        <v>46293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3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3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IF(T41=0,0,IF((AND((ROW(T41)=MATCH(TRUE,($T$1:$T$43)&gt;0,0)))),IF(W41&gt;=6,W41-6,0),IF(W41&gt;=2,2,W41)))</f>
        <v>0</v>
      </c>
      <c r="Y41" s="242">
        <f t="array" ref="Y41">IF(T40=0,0,(IF((AND((ROW(T40)=MATCH(TRUE,($T$1:$T$43)&gt;0,0)))),IF(W40&gt;=6,6,W40),IF(W40&gt;=2,W40-2,0))))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46294</v>
      </c>
      <c r="C42" s="83">
        <f>C41+1</f>
        <v>46294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2">
        <f t="shared" si="5"/>
        <v>0</v>
      </c>
      <c r="U42" s="105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3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3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IF(T42=0,0,IF((AND((ROW(T42)=MATCH(TRUE,($T$1:$T$43)&gt;0,0)))),IF(W42&gt;=6,W42-6,0),IF(W42&gt;=2,2,W42)))</f>
        <v>0</v>
      </c>
      <c r="Y42" s="242">
        <f t="array" ref="Y42">IF(T41=0,0,(IF((AND((ROW(T41)=MATCH(TRUE,($T$1:$T$43)&gt;0,0)))),IF(W41&gt;=6,6,W41),IF(W41&gt;=2,W41-2,0))))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49">
        <f t="shared" si="0"/>
        <v>46295</v>
      </c>
      <c r="C43" s="150">
        <f>C42+1</f>
        <v>46295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199" t="str">
        <f>IF(D43="","",IF(E42="ND",VLOOKUP(D43,Datenblatt!$A$2:$C$31,3,FALSE)-1,IF(E42="ND12,5",VLOOKUP(D43,Datenblatt!$A$2:$C$31,3,FALSE)-0.5,VLOOKUP(D43,Datenblatt!$A$2:$C$31,3,FALSE)-M44)))</f>
        <v/>
      </c>
      <c r="N43" s="200" t="str">
        <f t="shared" si="2"/>
        <v/>
      </c>
      <c r="O43" s="200" t="str">
        <f t="shared" si="3"/>
        <v/>
      </c>
      <c r="P43" s="175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3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3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2">
        <f t="array" ref="X43">IF(T43=0,0,IF((AND((ROW(T43)=MATCH(TRUE,($T$1:$T$43)&gt;0,0)))),IF(W43&gt;=0,W43-0,0),IF(W43&gt;=2,2,W43)))</f>
        <v>0</v>
      </c>
      <c r="Y43" s="242">
        <f t="array" ref="Y43">IF(T42=0,0,(IF((AND((ROW(T42)=MATCH(TRUE,($T$1:$T$43)&gt;0,0)))),IF(W42&gt;=6,6,W42),IF(W42&gt;=2,W42-2,0))))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 thickBot="1">
      <c r="A44" s="216" t="str">
        <f>IF(ISERROR(VLOOKUP(C44,Datenblatt!$B$84:$B$97,1,FALSE)),"","Ft")</f>
        <v/>
      </c>
      <c r="B44" s="143"/>
      <c r="C44" s="140"/>
      <c r="D44" s="140"/>
      <c r="E44" s="140"/>
      <c r="F44" s="140"/>
      <c r="G44" s="140"/>
      <c r="H44" s="140"/>
      <c r="I44" s="140"/>
      <c r="J44" s="144">
        <f>SUM(J14:J43)</f>
        <v>0</v>
      </c>
      <c r="K44" s="202">
        <f>SUM(K14:K43)</f>
        <v>0</v>
      </c>
      <c r="L44" s="162" t="str">
        <f>IF(D43="ND",9,IF(D43="ND12,5",8.5,"0"))</f>
        <v>0</v>
      </c>
      <c r="M44" s="162" t="str">
        <f>IF(D43="ND",9,IF(D43="ND12,5",8.5,"0"))</f>
        <v>0</v>
      </c>
      <c r="N44" s="208">
        <f t="shared" ref="N44:O44" si="12">SUM(N14:N43)</f>
        <v>0</v>
      </c>
      <c r="O44" s="208">
        <f t="shared" si="12"/>
        <v>0</v>
      </c>
      <c r="P44" s="186">
        <f>SUM(P14:P43)</f>
        <v>0</v>
      </c>
      <c r="Q44" s="165"/>
      <c r="R44" s="146"/>
      <c r="S44" s="147"/>
      <c r="T44" s="145"/>
      <c r="U44" s="106"/>
      <c r="V44" s="107"/>
      <c r="W44" s="107"/>
      <c r="X44" s="107"/>
      <c r="Y44" s="107"/>
      <c r="Z44" s="145"/>
      <c r="AA44" s="204"/>
      <c r="AB44" s="204"/>
      <c r="AC44" s="204"/>
      <c r="AD44" s="204"/>
      <c r="AE44" s="204"/>
      <c r="AF44" s="204"/>
      <c r="AG44" s="204"/>
      <c r="AH44" s="204"/>
    </row>
    <row r="45" spans="1:34" s="77" customFormat="1" ht="0.75" customHeight="1" thickBot="1">
      <c r="A45" s="419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8"/>
      <c r="U45" s="108"/>
      <c r="V45" s="108"/>
      <c r="W45" s="108"/>
      <c r="X45" s="108"/>
      <c r="Y45" s="108"/>
      <c r="Z45" s="176"/>
      <c r="AA45" s="205"/>
      <c r="AB45" s="205"/>
      <c r="AC45" s="205"/>
      <c r="AD45" s="205"/>
      <c r="AE45" s="205"/>
      <c r="AF45" s="109"/>
      <c r="AG45" s="109"/>
      <c r="AH45" s="109"/>
    </row>
    <row r="46" spans="1:34" s="63" customFormat="1">
      <c r="A46" s="216"/>
      <c r="B46" s="158" t="s">
        <v>146</v>
      </c>
      <c r="C46" s="158"/>
      <c r="D46" s="56"/>
      <c r="E46" s="56"/>
      <c r="F46" s="54"/>
      <c r="G46" s="54"/>
      <c r="H46" s="54"/>
      <c r="I46" s="239"/>
      <c r="J46" s="239"/>
      <c r="K46" s="239"/>
      <c r="L46" s="608" t="s">
        <v>288</v>
      </c>
      <c r="M46" s="608"/>
      <c r="N46" s="608"/>
      <c r="O46" s="609"/>
      <c r="P46" s="190" t="s">
        <v>145</v>
      </c>
      <c r="Q46" s="315">
        <f>IF($P$46="ja",SUMPRODUCT((WEEKDAY($B$14:$B$43,2)=1)*2),0)</f>
        <v>0</v>
      </c>
      <c r="R46" s="148"/>
      <c r="S46" s="161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1"/>
      <c r="AG46" s="231"/>
      <c r="AH46" s="231"/>
    </row>
    <row r="47" spans="1:34" s="63" customFormat="1">
      <c r="A47" s="216"/>
      <c r="B47" s="180" t="str">
        <f>"Verrechnung von Sonderzahlungen, Überstunden, Nachtgutstunden und Nachtdiensten erfolgt im Folgemonat"&amp;" "&amp;Start!$B$24</f>
        <v>Verrechnung von Sonderzahlungen, Überstunden, Nachtgutstunden und Nachtdiensten erfolgt im Folgemonat Oktober</v>
      </c>
      <c r="C47" s="158"/>
      <c r="D47" s="56"/>
      <c r="E47" s="56"/>
      <c r="F47" s="54"/>
      <c r="G47" s="54"/>
      <c r="H47" s="78"/>
      <c r="I47" s="78"/>
      <c r="J47" s="79"/>
      <c r="K47" s="79"/>
      <c r="L47" s="606" t="s">
        <v>289</v>
      </c>
      <c r="M47" s="606"/>
      <c r="N47" s="606"/>
      <c r="O47" s="607"/>
      <c r="P47" s="193" t="s">
        <v>291</v>
      </c>
      <c r="Q47" s="314" t="str">
        <f>IF($P$47="Freizeit","       als Gutstunden abgerechnet","       im Folgemonat ausbezahlt")</f>
        <v xml:space="preserve">       als Gutstunden abgerechnet</v>
      </c>
      <c r="R47" s="192"/>
      <c r="S47" s="18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ht="15" thickBot="1"/>
    <row r="49" spans="2:34" ht="15" hidden="1" thickBot="1"/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"&amp;Start!$B$23</f>
        <v>Monatsprofil September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COUNTIF($D$14:$E$43,"U")-COUNTIFS($D$14:$D$43,"U",$E$14:$E$43,"K")-COUNTIFS($D$14:$D$43,"U",$E$14:$E$43,"PK")</f>
        <v>0</v>
      </c>
      <c r="C51" s="403" t="s">
        <v>18</v>
      </c>
      <c r="D51" s="404">
        <f>SUMIFS($P$14:$P$43,$D$14:$D$43,"U")+SUMIFS($P$14:$P$43,$E$14:$E$43,"U")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IF(OR(Start!$D$8=Gehalt!$K$37,Start!$D$8=Gehalt!$K$39,Start!$D$8=Gehalt!$K$41),Gehalt!$K$29,0)</f>
        <v>0</v>
      </c>
      <c r="N51" s="543"/>
      <c r="O51" s="544"/>
      <c r="P51" s="545"/>
      <c r="T51" s="253" t="s">
        <v>392</v>
      </c>
      <c r="U51" s="110">
        <f>SUMPRODUCT(($U$14:$U$43)*(ISNUMBER(FIND("Ft",$A$14:$A$43))))+SUMPRODUCT((($U$14:$U$43)*1)*(WEEKDAY($B$14:$B$43,2)=7))-SUMPRODUCT((($U$14:$U$43)*1)*(WEEKDAY($B$14:$B$43,2)=7)*(ISNUMBER(FIND("Ft",$A$14:$A$43))))</f>
        <v>0</v>
      </c>
      <c r="V51" s="110">
        <f>SUMPRODUCT(($V$14:$V$43)*(ISNUMBER(FIND("Ft",$A$14:$A$43))))+SUMPRODUCT((($V$14:$V$43)*1)*(WEEKDAY($B$14:$B$43,2)=7))-SUMPRODUCT((($V$14:$V$43)*1)*(WEEKDAY($B$14:$B$43,2)=7)*(ISNUMBER(FIND("Ft",$A$14:$A$43))))</f>
        <v>0</v>
      </c>
      <c r="W51" s="110">
        <f>SUM($W$14:$W$43)</f>
        <v>0</v>
      </c>
      <c r="X51" s="438"/>
      <c r="Y51" s="439"/>
      <c r="Z51" s="253" t="s">
        <v>392</v>
      </c>
      <c r="AA51" s="203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3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3">
        <f>SUM($AC$14:$AC$43)</f>
        <v>0</v>
      </c>
      <c r="AD51" s="203">
        <f>SUM($AD$14:$AD$43)</f>
        <v>0</v>
      </c>
      <c r="AE51" s="206"/>
      <c r="AF51" s="177"/>
      <c r="AG51" s="253" t="s">
        <v>392</v>
      </c>
      <c r="AH51" s="203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1">
        <f>COUNTIF($D$14:$E$43,"ZA")-COUNTIFS($D$14:$D$43,"ZA",$E$14:$E$43,"K")-COUNTIFS($D$14:$D$43,"ZA",$E$14:$E$43,"PK")</f>
        <v>0</v>
      </c>
      <c r="C52" s="403" t="s">
        <v>21</v>
      </c>
      <c r="D52" s="406">
        <f>SUMIFS($P$14:$P$43,$D$14:$D$43,"ZA")+SUMIFS($P$14:$P$43,$E$14:$E$43,"ZA")-$J$44</f>
        <v>0</v>
      </c>
      <c r="E52" s="407">
        <f>IF($P$47="Freizeit",SUM($N$44*1.5,$O$44*2),0)+$J$54*1.5</f>
        <v>0</v>
      </c>
      <c r="G52" s="295" t="str">
        <f>"9545 Nachtdienstpauschale Gesamt ("&amp;""&amp;Gehalt!$K$25&amp;""&amp;"€/h)"</f>
        <v>9545 Nachtdienstpauschale Gesamt (31,48€/h)</v>
      </c>
      <c r="H52" s="141"/>
      <c r="I52" s="141"/>
      <c r="J52" s="141"/>
      <c r="K52" s="245">
        <f>SUM($AF$14:$AG$43)</f>
        <v>0</v>
      </c>
      <c r="L52" s="215">
        <f>$K$52*Gehalt!$K$25</f>
        <v>0</v>
      </c>
      <c r="N52" s="538" t="s">
        <v>236</v>
      </c>
      <c r="O52" s="539"/>
      <c r="P52" s="318">
        <f>VLOOKUP($B$8,Datenblatt!$A$100:$I$112,2,FALSE)</f>
        <v>30</v>
      </c>
      <c r="T52" s="254" t="s">
        <v>103</v>
      </c>
      <c r="U52" s="249">
        <f>SUM($U$14:$U$43)-$U$51</f>
        <v>0</v>
      </c>
      <c r="V52" s="249">
        <f>SUM($V$14:$V$43)-$V$51</f>
        <v>0</v>
      </c>
      <c r="W52" s="441"/>
      <c r="X52" s="440"/>
      <c r="Y52" s="439"/>
      <c r="Z52" s="255" t="s">
        <v>103</v>
      </c>
      <c r="AA52" s="203">
        <f>SUM($AA$14:$AA$43)-$AA$51</f>
        <v>0</v>
      </c>
      <c r="AB52" s="203">
        <f>SUM($AB$14:$AB$43)-$AB$51</f>
        <v>0</v>
      </c>
      <c r="AC52" s="437"/>
      <c r="AD52" s="204"/>
      <c r="AE52" s="206"/>
      <c r="AF52" s="177"/>
      <c r="AG52" s="255" t="s">
        <v>103</v>
      </c>
      <c r="AH52" s="203">
        <f>SUM($AH$14:$AH$43)-$AH$51</f>
        <v>0</v>
      </c>
    </row>
    <row r="53" spans="2:34" s="84" customFormat="1" ht="13" customHeight="1">
      <c r="B53" s="321">
        <f>COUNTIF($D$14:$E$43,"RG")-COUNTIFS($D$14:$D$43,"U",$E$14:$E$43,"RG")-COUNTIFS($D$14:$D$43,"RG",$E$14:$E$43,"PK")</f>
        <v>0</v>
      </c>
      <c r="C53" s="325" t="s">
        <v>131</v>
      </c>
      <c r="D53" s="404">
        <f>SUMIFS($P$14:$P$43,$D$14:$D$43,"RG")+SUMIFS($P$14:$P$43,$E$14:$E$43,"RG")</f>
        <v>0</v>
      </c>
      <c r="E53" s="408">
        <f>$Q$46</f>
        <v>0</v>
      </c>
      <c r="G53" s="295" t="str">
        <f>"9547 Sonn- und Feiertagszulage ("&amp;""&amp;Gehalt!$K$26&amp;""&amp;"€/h)"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$K$53*Gehalt!$K$26</f>
        <v>0</v>
      </c>
      <c r="N53" s="538" t="s">
        <v>237</v>
      </c>
      <c r="O53" s="539"/>
      <c r="P53" s="318">
        <f>VLOOKUP($B$8,Datenblatt!$A$100:$I$112,3,FALSE)</f>
        <v>0</v>
      </c>
      <c r="T53" s="252" t="s">
        <v>393</v>
      </c>
      <c r="U53" s="103">
        <f>SUMPRODUCT(($U$14:$U$43)*(ISNUMBER(FIND("Ft",$A$14:$A$43))))+SUMPRODUCT((($U$14:$U$43)*1)*(WEEKDAY($B$14:$B$43,2)=7))-SUMPRODUCT((($U$14:$U$43)*1)*(WEEKDAY($B$14:$B$43,2)=7)*(ISNUMBER(FIND("Ft",$A$14:$A$43))))</f>
        <v>0</v>
      </c>
      <c r="V53" s="103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2"/>
      <c r="X53" s="103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3">
        <f>SUMPRODUCT(($Y$14:$Y$43)*(ISNUMBER(FIND("Ft",$A$14:$A$43))))+SUMPRODUCT((($Y$14:$Y$43)*1)*(WEEKDAY($B$14:$B$43,2)=7))-SUMPRODUCT((($Y$14:$Y$43)*1)*(WEEKDAY($B$14:$B$43,2)=7)*(ISNUMBER(FIND("Ft",$A$14:$A$43))))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COUNTIF($D$14:$E$43,"NDG")-COUNTIFS($D$14:$D$43,"NDG",$E$14:$E$43,"K")-COUNTIFS($D$14:$D$43,"NDG",$E$14:$E$43,"PK")</f>
        <v>0</v>
      </c>
      <c r="C54" s="325" t="s">
        <v>130</v>
      </c>
      <c r="D54" s="404">
        <f>SUMIFS($P$14:$P$43,$D$14:$D$43,"NDG")+SUMIFS($P$14:$P$43,$E$14:$E$43,"NDG")</f>
        <v>0</v>
      </c>
      <c r="E54" s="408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35" t="s">
        <v>294</v>
      </c>
      <c r="H54" s="536"/>
      <c r="I54" s="537"/>
      <c r="J54" s="356">
        <v>0</v>
      </c>
      <c r="K54" s="214">
        <f>IF($P$47="finanziell",SUM($L$62),0)+$L$66+$L$70-$J$54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SUMIFS($M$14:$M$43,$D$14:$D$43,"U")</f>
        <v>0</v>
      </c>
      <c r="E55" s="405"/>
      <c r="G55" s="295" t="s">
        <v>226</v>
      </c>
      <c r="H55" s="141"/>
      <c r="I55" s="141"/>
      <c r="J55" s="141"/>
      <c r="K55" s="214">
        <f>IF($P$47="finanziell",SUM($L$63),0)+$L$71+$L$67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22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COUNTIF($D$14:$E$43,"SU")-COUNTIFS($D$14:$D$43,"SU",$E$14:$E$43,"K")-COUNTIFS($D$14:$D$43,"SU",$E$14:$E$43,"PK")</f>
        <v>0</v>
      </c>
      <c r="C56" s="325" t="s">
        <v>171</v>
      </c>
      <c r="D56" s="404">
        <f>SUMIFS($M$14:$M$43,$D$14:$D$43,"SU")</f>
        <v>0</v>
      </c>
      <c r="E56" s="405"/>
      <c r="G56" s="295" t="s">
        <v>284</v>
      </c>
      <c r="H56" s="141"/>
      <c r="I56" s="141"/>
      <c r="J56" s="141"/>
      <c r="K56" s="213">
        <f ca="1">IF(August!$P$63-SUM(Start!$E$18:$E$23)*2&lt;=0,0,August!$P$63-SUM(Start!$E$18:$E$23)*2)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22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COUNTIF($D$14:$E$43,"PK")</f>
        <v>0</v>
      </c>
      <c r="C57" s="325" t="s">
        <v>170</v>
      </c>
      <c r="D57" s="404">
        <f>SUMIFS($M$14:$M$43,$D$14:$D$43,"PK")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IF(OR(Start!$D$8=Gehalt!$K$37,Start!$D$8=Gehalt!$K$39,Start!$D$8=Gehalt!$K$41),SUMIFS($M$14:$M$43,$Q$14:$Q$43,"=Tagdienst*",$E$14:$E$43,"&lt;&gt;*")+SUMIFS($AH$14:$AH$43,$R$14:$R$43,"=Tagdienst*"),0)</f>
        <v>0</v>
      </c>
      <c r="L57" s="215">
        <f>$K$57*Gehalt!$K$28</f>
        <v>0</v>
      </c>
      <c r="N57" s="538" t="s">
        <v>235</v>
      </c>
      <c r="O57" s="539"/>
      <c r="P57" s="318">
        <f>VLOOKUP($B$8,Datenblatt!$A$100:$I$112,6,FALSE)</f>
        <v>176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COUNTIF($D$14:$E$43,"K")+COUNTIF($D$14:$E$43,"KA")</f>
        <v>0</v>
      </c>
      <c r="C58" s="325" t="s">
        <v>412</v>
      </c>
      <c r="D58" s="404">
        <f>SUMIFS($M$14:$M$43,$D$14:$D$43,"K")+SUMIFS($M$14:$M$43,$D$14:$D$43,"KA")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IF($J$58="ja",Gehalt!$K$27*2,0)</f>
        <v>0</v>
      </c>
      <c r="N58" s="546" t="str">
        <f>"Stundenkonto Monatsende"&amp;" "&amp;Start!$B$23</f>
        <v>Stundenkonto Monatsende September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COUNTIF($L$14:$L$43,"n.b.")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COUNTIF($D$14:$E$43,"DV")</f>
        <v>0</v>
      </c>
      <c r="C60" s="325" t="s">
        <v>110</v>
      </c>
      <c r="D60" s="404">
        <f>SUMIFS($P$14:$P$43,$D$14:$D$43,"DV")+SUMIFS($P$14:$P$43,$E$14:$E$43,"DV")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Start!$C$32+SUM(Jänner:September!$D$51)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COUNTIF($D$14:$E$43,"WR")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Start!$C$33+SUM(Jänner:September!$D$52)+SUM(Jänner:September!$E$52)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355"/>
      <c r="L62" s="342">
        <f>SUM($N$14:$N$43)</f>
        <v>0</v>
      </c>
      <c r="M62" s="84"/>
      <c r="N62" s="538" t="s">
        <v>147</v>
      </c>
      <c r="O62" s="539"/>
      <c r="P62" s="318">
        <f>Start!$C$34+SUM(Jänner:September!$D$53)+SUM(Jänner:September!$E$53)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SUM($O$14:$O$43)</f>
        <v>0</v>
      </c>
      <c r="M63" s="84"/>
      <c r="N63" s="610" t="s">
        <v>165</v>
      </c>
      <c r="O63" s="611"/>
      <c r="P63" s="320">
        <f ca="1">Start!$C$35+SUM(Jänner:September!$D$54)+SUM(Jänner:September!$E$54)-SUM(Jänner:September!$K$56)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SUM(Jänner:September!$D$51)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SUM(Jänner:September!$D$52)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SUM(Jänner:September!$D$53)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SUM(Jänner:September!$D$54)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SUM(Jänner:September!$B$56)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SUM(Jänner:September!$B$57)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SUM(Jänner:September!$B$58)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176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SUMPRODUCT(($D$14:$D$43="ND")*($A$14:$A$43="Ft"))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SUMPRODUCT(($A$13:$A$42="Ft")*($D$13:$D$42="ND")*($A$14:$A$43="Ft"))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SUMPRODUCT((WEEKDAY($B$13:$B$42,2)=6)*($D$13:$D$42="ND12,5"))-SUMPRODUCT((WEEKDAY($B$13:$B$42,2)=6)*($D$13:$D$42="ND12,5")*($A$13:$A$42="Ft"))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SUMPRODUCT((WEEKDAY($B$14:$B$43,2)=7)*($D$14:$D$43="ND12,5"))-SUMPRODUCT((WEEKDAY($B$14:$B$43,2)=7)*($D$14:$D$43="ND12,5")*($A$14:$A$43="Ft"))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SUMPRODUCT(($D$14:$D$43="ND12,5")*($A$14:$A$43="Ft"))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SUMPRODUCT(($A$13:$A$42="Ft")*($D$13:$D$42="ND12,5")*($A$14:$A$43="Ft"))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7w9yTMLBG7bAmIbarUJgYjVl3Igpig1xxrHAZsFz1sClpLlrA3MCuKtlK2a2JduWAZF2mA5Hk1nclcQ2ty0b1Q==" saltValue="AvHcbklAdUohm8yNnvJFcA==" spinCount="100000" sheet="1" selectLockedCells="1"/>
  <mergeCells count="63">
    <mergeCell ref="N57:O57"/>
    <mergeCell ref="N50:P51"/>
    <mergeCell ref="N52:O52"/>
    <mergeCell ref="N64:P65"/>
    <mergeCell ref="N66:O66"/>
    <mergeCell ref="N63:O63"/>
    <mergeCell ref="N53:O53"/>
    <mergeCell ref="N54:O54"/>
    <mergeCell ref="L47:O47"/>
    <mergeCell ref="N55:O55"/>
    <mergeCell ref="N56:O56"/>
    <mergeCell ref="K5:M5"/>
    <mergeCell ref="L9:L11"/>
    <mergeCell ref="M9:M11"/>
    <mergeCell ref="K6:M6"/>
    <mergeCell ref="L46:O46"/>
    <mergeCell ref="N9:N11"/>
    <mergeCell ref="O9:O11"/>
    <mergeCell ref="N13:O13"/>
    <mergeCell ref="K8:M8"/>
    <mergeCell ref="N8:P8"/>
    <mergeCell ref="K7:M7"/>
    <mergeCell ref="N7:P7"/>
    <mergeCell ref="K9:K11"/>
    <mergeCell ref="P9:P11"/>
    <mergeCell ref="N6:P6"/>
    <mergeCell ref="N5:P5"/>
    <mergeCell ref="AG10:AG11"/>
    <mergeCell ref="S9:S11"/>
    <mergeCell ref="Q9:Q11"/>
    <mergeCell ref="R9:R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J9:J11"/>
    <mergeCell ref="B9:C11"/>
    <mergeCell ref="D9:D11"/>
    <mergeCell ref="C50:D50"/>
    <mergeCell ref="G54:I54"/>
    <mergeCell ref="E9:E11"/>
    <mergeCell ref="F9:G10"/>
    <mergeCell ref="H9:I10"/>
    <mergeCell ref="N70:O70"/>
    <mergeCell ref="N71:O71"/>
    <mergeCell ref="N72:O72"/>
    <mergeCell ref="N60:O60"/>
    <mergeCell ref="N58:P59"/>
    <mergeCell ref="N61:O61"/>
    <mergeCell ref="N62:O62"/>
    <mergeCell ref="N69:O69"/>
    <mergeCell ref="N67:O67"/>
    <mergeCell ref="N68:O68"/>
  </mergeCells>
  <conditionalFormatting sqref="A13:A43">
    <cfRule type="cellIs" dxfId="255" priority="10" operator="equal">
      <formula>"HFT"</formula>
    </cfRule>
    <cfRule type="cellIs" dxfId="254" priority="11" operator="equal">
      <formula>"FT"</formula>
    </cfRule>
  </conditionalFormatting>
  <conditionalFormatting sqref="A44">
    <cfRule type="cellIs" dxfId="253" priority="323" operator="equal">
      <formula>"Ft"</formula>
    </cfRule>
  </conditionalFormatting>
  <conditionalFormatting sqref="B13:C43">
    <cfRule type="expression" dxfId="252" priority="324">
      <formula>WEEKDAY($C13,2)&gt;5</formula>
    </cfRule>
  </conditionalFormatting>
  <conditionalFormatting sqref="E8">
    <cfRule type="cellIs" dxfId="250" priority="53" operator="greaterThan">
      <formula>48</formula>
    </cfRule>
  </conditionalFormatting>
  <conditionalFormatting sqref="I46:K46">
    <cfRule type="cellIs" dxfId="249" priority="136" operator="equal">
      <formula>"Wochenarbeitszeit überschritten"</formula>
    </cfRule>
  </conditionalFormatting>
  <conditionalFormatting sqref="J44:P44">
    <cfRule type="cellIs" dxfId="248" priority="178" operator="equal">
      <formula>0</formula>
    </cfRule>
  </conditionalFormatting>
  <conditionalFormatting sqref="K8">
    <cfRule type="cellIs" dxfId="247" priority="231" operator="equal">
      <formula>$N$8</formula>
    </cfRule>
    <cfRule type="cellIs" dxfId="246" priority="233" operator="lessThan">
      <formula>$N$8</formula>
    </cfRule>
    <cfRule type="cellIs" dxfId="245" priority="232" operator="greaterThan">
      <formula>$N$8</formula>
    </cfRule>
  </conditionalFormatting>
  <conditionalFormatting sqref="K14:K43">
    <cfRule type="cellIs" dxfId="244" priority="41" operator="lessThanOrEqual">
      <formula>0</formula>
    </cfRule>
    <cfRule type="cellIs" dxfId="243" priority="42" operator="greaterThan">
      <formula>0</formula>
    </cfRule>
  </conditionalFormatting>
  <conditionalFormatting sqref="K44">
    <cfRule type="cellIs" dxfId="242" priority="236" operator="lessThan">
      <formula>0</formula>
    </cfRule>
  </conditionalFormatting>
  <conditionalFormatting sqref="N14:O43">
    <cfRule type="cellIs" dxfId="241" priority="13" operator="equal">
      <formula>0</formula>
    </cfRule>
  </conditionalFormatting>
  <conditionalFormatting sqref="P13:P43">
    <cfRule type="cellIs" dxfId="240" priority="2" operator="equal">
      <formula>0</formula>
    </cfRule>
  </conditionalFormatting>
  <conditionalFormatting sqref="P60:P63">
    <cfRule type="cellIs" dxfId="239" priority="72" operator="lessThan">
      <formula>0</formula>
    </cfRule>
  </conditionalFormatting>
  <conditionalFormatting sqref="Q46">
    <cfRule type="cellIs" dxfId="238" priority="57" operator="equal">
      <formula>0</formula>
    </cfRule>
  </conditionalFormatting>
  <conditionalFormatting sqref="T14:T43">
    <cfRule type="cellIs" dxfId="237" priority="39" operator="equal">
      <formula>0</formula>
    </cfRule>
  </conditionalFormatting>
  <conditionalFormatting sqref="T51:W51">
    <cfRule type="cellIs" dxfId="236" priority="29" operator="equal">
      <formula>0</formula>
    </cfRule>
  </conditionalFormatting>
  <conditionalFormatting sqref="T44:AD44">
    <cfRule type="cellIs" dxfId="235" priority="123" operator="equal">
      <formula>0</formula>
    </cfRule>
  </conditionalFormatting>
  <conditionalFormatting sqref="U15:W43">
    <cfRule type="cellIs" dxfId="234" priority="36" operator="equal">
      <formula>0</formula>
    </cfRule>
  </conditionalFormatting>
  <conditionalFormatting sqref="U51:Y53">
    <cfRule type="cellIs" dxfId="233" priority="19" operator="equal">
      <formula>0</formula>
    </cfRule>
  </conditionalFormatting>
  <conditionalFormatting sqref="V14">
    <cfRule type="cellIs" dxfId="232" priority="38" operator="equal">
      <formula>0</formula>
    </cfRule>
  </conditionalFormatting>
  <conditionalFormatting sqref="V13:Y13">
    <cfRule type="cellIs" dxfId="231" priority="74" operator="equal">
      <formula>0</formula>
    </cfRule>
  </conditionalFormatting>
  <conditionalFormatting sqref="W52">
    <cfRule type="cellIs" dxfId="230" priority="23" operator="equal">
      <formula>0</formula>
    </cfRule>
  </conditionalFormatting>
  <conditionalFormatting sqref="X14:Y43">
    <cfRule type="cellIs" dxfId="229" priority="35" operator="equal">
      <formula>0</formula>
    </cfRule>
  </conditionalFormatting>
  <conditionalFormatting sqref="Z13:Z43">
    <cfRule type="cellIs" dxfId="228" priority="189" operator="equal">
      <formula>0</formula>
    </cfRule>
  </conditionalFormatting>
  <conditionalFormatting sqref="Z51:AC51">
    <cfRule type="cellIs" dxfId="227" priority="27" operator="equal">
      <formula>0</formula>
    </cfRule>
  </conditionalFormatting>
  <conditionalFormatting sqref="AA14:AB43">
    <cfRule type="cellIs" dxfId="226" priority="43" operator="equal">
      <formula>0</formula>
    </cfRule>
  </conditionalFormatting>
  <conditionalFormatting sqref="AA51:AE52">
    <cfRule type="cellIs" dxfId="225" priority="4" operator="equal">
      <formula>0</formula>
    </cfRule>
  </conditionalFormatting>
  <conditionalFormatting sqref="AC13:AD43">
    <cfRule type="cellIs" dxfId="224" priority="143" operator="equal">
      <formula>0</formula>
    </cfRule>
  </conditionalFormatting>
  <conditionalFormatting sqref="AE13:AE44">
    <cfRule type="cellIs" dxfId="223" priority="1" operator="equal">
      <formula>0</formula>
    </cfRule>
  </conditionalFormatting>
  <conditionalFormatting sqref="AF13:AG43">
    <cfRule type="cellIs" dxfId="222" priority="87" operator="equal">
      <formula>0</formula>
    </cfRule>
  </conditionalFormatting>
  <conditionalFormatting sqref="AF44:AH44">
    <cfRule type="cellIs" dxfId="221" priority="64" operator="equal">
      <formula>0</formula>
    </cfRule>
  </conditionalFormatting>
  <conditionalFormatting sqref="AG51:AH51">
    <cfRule type="cellIs" dxfId="220" priority="18" operator="equal">
      <formula>0</formula>
    </cfRule>
  </conditionalFormatting>
  <conditionalFormatting sqref="AH14:AH43">
    <cfRule type="cellIs" dxfId="219" priority="32" operator="equal">
      <formula>0</formula>
    </cfRule>
  </conditionalFormatting>
  <conditionalFormatting sqref="AH51:AH52">
    <cfRule type="cellIs" dxfId="218" priority="16" operator="equal">
      <formula>0</formula>
    </cfRule>
  </conditionalFormatting>
  <dataValidations count="4">
    <dataValidation type="list" allowBlank="1" showInputMessage="1" showErrorMessage="1" sqref="J14:J43" xr:uid="{24055640-9AFD-4D72-A4A3-51BA0E35EDA8}">
      <formula1>AbwesenheitenStunden</formula1>
    </dataValidation>
    <dataValidation type="list" allowBlank="1" showInputMessage="1" showErrorMessage="1" error="Die Eingabe ist unzulässig_x000a_Bitte Drop Down Felder verwenden" sqref="F14:G43" xr:uid="{CF99D21B-3AEA-41AB-8B13-0CA3A316EEA6}">
      <formula1>Zeiten1</formula1>
    </dataValidation>
    <dataValidation type="decimal" allowBlank="1" showInputMessage="1" showErrorMessage="1" error="Die ausgewählte Stundenanzahl steht nicht zur Verfügung!" sqref="J54" xr:uid="{33F6C8FB-88EE-4133-8A6A-5765B2E122A6}">
      <formula1>0</formula1>
      <formula2>K54</formula2>
    </dataValidation>
    <dataValidation type="list" allowBlank="1" showInputMessage="1" showErrorMessage="1" sqref="H14:I43" xr:uid="{B1D4E8C1-7BCF-4967-BA32-3A3E047A0EB4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6" id="{E83F4957-D5DE-4E56-8305-7B53D000FC87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B00-000007000000}">
          <x14:formula1>
            <xm:f>Datenblatt!$A$31:$A$51</xm:f>
          </x14:formula1>
          <xm:sqref>A45 AF46:AH46 AI45:XFD45 L45:AE45</xm:sqref>
        </x14:dataValidation>
        <x14:dataValidation type="list" allowBlank="1" showInputMessage="1" showErrorMessage="1" xr:uid="{B8FA6BC4-C28E-4E59-8FC0-4BCCA9D27289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671B2D11-532C-4149-B788-8498E40FE906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67C5C7F8-A291-4B33-B8F4-B9943DFEFBCD}">
          <x14:formula1>
            <xm:f>Datenblatt!$D$58:$D$59</xm:f>
          </x14:formula1>
          <xm:sqref>P46 J58</xm:sqref>
        </x14:dataValidation>
        <x14:dataValidation type="list" allowBlank="1" showInputMessage="1" showErrorMessage="1" xr:uid="{A9895C40-6EB3-4273-9D95-6E98BB5DAA7E}">
          <x14:formula1>
            <xm:f>Datenblatt!$D$52:$D$53</xm:f>
          </x14:formula1>
          <xm:sqref>P47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IF(SUM(N14:O44,L13:L44,AA51:AD51,AA52:AB52)=0,Datenblatt!J109,SUM(N14:O44,L13:L44,AA51:AD51,AA52:AB52,AH51:AH52))</f>
        <v>211.20000000000002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DATE($D$8,10,1)</f>
        <v>46296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168</v>
      </c>
      <c r="O8" s="555"/>
      <c r="P8" s="556"/>
      <c r="Q8" s="491">
        <f ca="1">IF($L$50="","",SUM($L$50:$L$59))</f>
        <v>11103.98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46295</v>
      </c>
      <c r="C13" s="139">
        <f>C14-1</f>
        <v>46295</v>
      </c>
      <c r="D13" s="143" t="str">
        <f>IF(September!D$43="","",September!D$43)</f>
        <v/>
      </c>
      <c r="E13" s="140" t="str">
        <f>IF(September!E$43="","",September!E$43)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46296</v>
      </c>
      <c r="C14" s="81">
        <f>DATE($D$8,MONTH(B$8),1)</f>
        <v>46296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46297</v>
      </c>
      <c r="C15" s="82">
        <f t="shared" ref="C15:C41" si="4">C14+1</f>
        <v>46297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5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ref="Z15:Z44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7">IF(OR(E15="ND",E15="ND12,5"),2,0)</f>
        <v>0</v>
      </c>
      <c r="AD15" s="203">
        <f t="shared" ref="AD15:AD44" si="8">IF(OR(E14="ND",E14="ND12,5"),6,0)</f>
        <v>0</v>
      </c>
      <c r="AE15" s="203">
        <f t="shared" ref="AE15:AE44" si="9">IF(AND(E14="ND",AA15&gt;=2),1,IF(AND(E14="ND12,5",AA15&gt;=2),0.5,0))</f>
        <v>0</v>
      </c>
      <c r="AF15" s="103">
        <f t="shared" ref="AF15:AF44" si="10">IF(OR(D15="ND",D15="ND12,5"),2-X15,0)</f>
        <v>0</v>
      </c>
      <c r="AG15" s="103">
        <f t="shared" ref="AG15:AG44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46298</v>
      </c>
      <c r="C16" s="82">
        <f t="shared" si="4"/>
        <v>46298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46299</v>
      </c>
      <c r="C17" s="82">
        <f t="shared" si="4"/>
        <v>46299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>
        <f t="shared" si="3"/>
        <v>0</v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46300</v>
      </c>
      <c r="C18" s="82">
        <f t="shared" si="4"/>
        <v>46300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46301</v>
      </c>
      <c r="C19" s="82">
        <f t="shared" si="4"/>
        <v>46301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46302</v>
      </c>
      <c r="C20" s="82">
        <f t="shared" si="4"/>
        <v>46302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46303</v>
      </c>
      <c r="C21" s="82">
        <f t="shared" si="4"/>
        <v>46303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46304</v>
      </c>
      <c r="C22" s="82">
        <f t="shared" si="4"/>
        <v>46304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46305</v>
      </c>
      <c r="C23" s="82">
        <f t="shared" si="4"/>
        <v>46305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46306</v>
      </c>
      <c r="C24" s="82">
        <f t="shared" si="4"/>
        <v>46306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>
        <f t="shared" si="3"/>
        <v>0</v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46307</v>
      </c>
      <c r="C25" s="82">
        <f t="shared" si="4"/>
        <v>46307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46308</v>
      </c>
      <c r="C26" s="82">
        <f t="shared" si="4"/>
        <v>46308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46309</v>
      </c>
      <c r="C27" s="82">
        <f t="shared" si="4"/>
        <v>46309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46310</v>
      </c>
      <c r="C28" s="82">
        <f t="shared" si="4"/>
        <v>46310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46311</v>
      </c>
      <c r="C29" s="82">
        <f t="shared" si="4"/>
        <v>46311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46312</v>
      </c>
      <c r="C30" s="82">
        <f t="shared" si="4"/>
        <v>46312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46313</v>
      </c>
      <c r="C31" s="82">
        <f t="shared" si="4"/>
        <v>46313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>
        <f t="shared" si="3"/>
        <v>0</v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46314</v>
      </c>
      <c r="C32" s="82">
        <f t="shared" si="4"/>
        <v>46314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46315</v>
      </c>
      <c r="C33" s="82">
        <f t="shared" si="4"/>
        <v>46315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46316</v>
      </c>
      <c r="C34" s="82">
        <f t="shared" si="4"/>
        <v>46316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46317</v>
      </c>
      <c r="C35" s="82">
        <f t="shared" si="4"/>
        <v>46317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46318</v>
      </c>
      <c r="C36" s="82">
        <f t="shared" si="4"/>
        <v>46318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46319</v>
      </c>
      <c r="C37" s="82">
        <f t="shared" si="4"/>
        <v>46319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46320</v>
      </c>
      <c r="C38" s="82">
        <f t="shared" si="4"/>
        <v>46320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>
        <f t="shared" si="3"/>
        <v>0</v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>Ft</v>
      </c>
      <c r="B39" s="80">
        <f t="shared" si="0"/>
        <v>46321</v>
      </c>
      <c r="C39" s="82">
        <f t="shared" si="4"/>
        <v>46321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>
        <f t="shared" si="3"/>
        <v>0</v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46322</v>
      </c>
      <c r="C40" s="82">
        <f t="shared" si="4"/>
        <v>46322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46323</v>
      </c>
      <c r="C41" s="82">
        <f t="shared" si="4"/>
        <v>46323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46324</v>
      </c>
      <c r="C42" s="82">
        <f>C41+1</f>
        <v>46324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5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46325</v>
      </c>
      <c r="C43" s="83">
        <f>C42+1</f>
        <v>46325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46326</v>
      </c>
      <c r="C44" s="150">
        <f>C43+1</f>
        <v>46326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5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6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7"/>
        <v>0</v>
      </c>
      <c r="AD44" s="203">
        <f t="shared" si="8"/>
        <v>0</v>
      </c>
      <c r="AE44" s="203">
        <f t="shared" si="9"/>
        <v>0</v>
      </c>
      <c r="AF44" s="103">
        <f t="shared" si="10"/>
        <v>0</v>
      </c>
      <c r="AG44" s="103">
        <f t="shared" si="11"/>
        <v>0</v>
      </c>
      <c r="AH44" s="103">
        <f>IF(E44="",0,VLOOKUP(E44,Datenblatt!$E$2:$G$28,3,FALSE))</f>
        <v>0</v>
      </c>
    </row>
    <row r="45" spans="1:34" ht="13" customHeight="1" thickBo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2">SUM(N14:N44)</f>
        <v>0</v>
      </c>
      <c r="O45" s="210">
        <f t="shared" si="12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"&amp;Start!$B$25</f>
        <v>Verrechnung von Sonderzahlungen, Überstunden, Nachtgutstunden und Nachtdiensten erfolgt im Folgemonat November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$Q$6*2</f>
        <v>11103.98</v>
      </c>
      <c r="N50" s="540" t="str">
        <f>"Monatsprofil"&amp;" "&amp;Start!$B$24</f>
        <v>Monatsprofil Oktober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IF(OR(Start!$D$8=Gehalt!$K$37,Start!$D$8=Gehalt!$K$39,Start!$D$8=Gehalt!$K$41),Gehalt!$L$29,0)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("&amp;""&amp;Gehalt!$L$25&amp;""&amp;"€/h)"</f>
        <v>9545 Nachtdienstpauschale Gesamt (31,48€/h)</v>
      </c>
      <c r="H52" s="141"/>
      <c r="I52" s="141"/>
      <c r="J52" s="141"/>
      <c r="K52" s="245">
        <f>SUM($AF$14:$AG$44)</f>
        <v>0</v>
      </c>
      <c r="L52" s="215">
        <f>$K$52*Gehalt!$L$25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("&amp;""&amp;Gehalt!$L$26&amp;""&amp;"€/h)"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$K$53*Gehalt!$L$26</f>
        <v>0</v>
      </c>
      <c r="N53" s="538" t="s">
        <v>237</v>
      </c>
      <c r="O53" s="539"/>
      <c r="P53" s="318">
        <f>VLOOKUP($B$8,Datenblatt!$A$100:$I$112,3,FALSE)</f>
        <v>1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9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21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IF(September!$P$63-SUM(Start!$E$19:$E$24)*2&lt;=0,0,September!$P$63-SUM(Start!$E$19:$E$24)*2)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22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$K$57*Gehalt!$L$28</f>
        <v>0</v>
      </c>
      <c r="N57" s="538" t="s">
        <v>235</v>
      </c>
      <c r="O57" s="539"/>
      <c r="P57" s="318">
        <f>VLOOKUP($B$8,Datenblatt!$A$100:$I$112,6,FALSE)</f>
        <v>168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IF($J$58="ja",Gehalt!$L$27,0)</f>
        <v>0</v>
      </c>
      <c r="N58" s="546" t="str">
        <f>"Stundenkonto Monatsende"&amp;" "&amp;Start!$B$24</f>
        <v>Stundenkonto Monatsende Oktober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Start!$C$32+SUM(Jänner:Oktober!$D$51)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Start!$C$33+SUM(Jänner:Oktober!$D$52)+SUM(Jänner:Oktober!$E$52)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Start!$C$34+SUM(Jänner:Oktober!$D$53)+SUM(Jänner:Oktober!$E$53)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Start!$C$35+SUM(Jänner:Oktober!$D$54)+SUM(Jänner:Oktober!$E$54)-SUM(Jänner:Oktober!$K$56)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SUM(Jänner:Oktober!$D$51)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SUM(Jänner:Oktober!$D$52)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SUM(Jänner:Oktober!$D$53)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SUM(Jänner:Oktober!$D$54)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SUM(Jänner:Oktober!$B$56)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SUM(Jänner:Oktober!$B$57)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SUM(Jänner:Oktober!$B$58)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168</v>
      </c>
    </row>
    <row r="75" spans="3:16" s="56" customFormat="1" ht="13" customHeight="1">
      <c r="D75" s="130"/>
    </row>
    <row r="76" spans="3:16" s="56" customFormat="1" ht="13" customHeight="1">
      <c r="C76" s="368"/>
    </row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SjrbNx+p7IMKaEWRbhJZBcVIPNdLm8V7HOciBCwUDqYCiKDPy+jPXq//Im3HU+GYOvTGQ0xTZdBptrIXgnInHg==" saltValue="ANjCRbOQ3FemQ9DJswAk4g==" spinCount="100000" sheet="1" selectLockedCells="1"/>
  <mergeCells count="63">
    <mergeCell ref="AG10:AG11"/>
    <mergeCell ref="N6:P6"/>
    <mergeCell ref="AF10:AF11"/>
    <mergeCell ref="N9:N11"/>
    <mergeCell ref="O9:O11"/>
    <mergeCell ref="U10:Y10"/>
    <mergeCell ref="AA10:AE10"/>
    <mergeCell ref="P9:P11"/>
    <mergeCell ref="S9:S11"/>
    <mergeCell ref="R9:R11"/>
    <mergeCell ref="Q9:Q11"/>
    <mergeCell ref="G54:I54"/>
    <mergeCell ref="N60:O60"/>
    <mergeCell ref="N55:O55"/>
    <mergeCell ref="N56:O56"/>
    <mergeCell ref="N57:O57"/>
    <mergeCell ref="N58:P59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N5:P5"/>
    <mergeCell ref="K8:M8"/>
    <mergeCell ref="N8:P8"/>
    <mergeCell ref="K6:M6"/>
    <mergeCell ref="K7:M7"/>
    <mergeCell ref="N7:P7"/>
    <mergeCell ref="K5:M5"/>
    <mergeCell ref="B9:C11"/>
    <mergeCell ref="L48:O48"/>
    <mergeCell ref="N52:O52"/>
    <mergeCell ref="K9:K11"/>
    <mergeCell ref="D9:D11"/>
    <mergeCell ref="E9:E11"/>
    <mergeCell ref="F9:G10"/>
    <mergeCell ref="H9:I10"/>
    <mergeCell ref="J9:J11"/>
    <mergeCell ref="N13:O13"/>
    <mergeCell ref="L47:O47"/>
    <mergeCell ref="M9:M11"/>
    <mergeCell ref="C50:D50"/>
    <mergeCell ref="N70:O70"/>
    <mergeCell ref="N71:O71"/>
    <mergeCell ref="N72:O72"/>
    <mergeCell ref="N50:P51"/>
    <mergeCell ref="L9:L11"/>
    <mergeCell ref="N53:O53"/>
    <mergeCell ref="N54:O54"/>
    <mergeCell ref="N69:O69"/>
    <mergeCell ref="N67:O67"/>
    <mergeCell ref="N68:O68"/>
    <mergeCell ref="N61:O61"/>
    <mergeCell ref="N62:O62"/>
    <mergeCell ref="N63:O63"/>
    <mergeCell ref="N64:P65"/>
    <mergeCell ref="N66:O66"/>
  </mergeCells>
  <conditionalFormatting sqref="A13:A44">
    <cfRule type="cellIs" dxfId="217" priority="8" operator="equal">
      <formula>"HFT"</formula>
    </cfRule>
    <cfRule type="cellIs" dxfId="216" priority="9" operator="equal">
      <formula>"FT"</formula>
    </cfRule>
  </conditionalFormatting>
  <conditionalFormatting sqref="A45">
    <cfRule type="cellIs" dxfId="215" priority="282" operator="equal">
      <formula>"Ft"</formula>
    </cfRule>
  </conditionalFormatting>
  <conditionalFormatting sqref="B13:C44">
    <cfRule type="expression" dxfId="214" priority="283">
      <formula>WEEKDAY($C13,2)&gt;5</formula>
    </cfRule>
  </conditionalFormatting>
  <conditionalFormatting sqref="E8">
    <cfRule type="cellIs" dxfId="212" priority="43" operator="greaterThan">
      <formula>48</formula>
    </cfRule>
  </conditionalFormatting>
  <conditionalFormatting sqref="I47:K47">
    <cfRule type="cellIs" dxfId="211" priority="112" operator="equal">
      <formula>"Wochenarbeitszeit überschritten"</formula>
    </cfRule>
  </conditionalFormatting>
  <conditionalFormatting sqref="J45:P45">
    <cfRule type="cellIs" dxfId="210" priority="152" operator="equal">
      <formula>0</formula>
    </cfRule>
  </conditionalFormatting>
  <conditionalFormatting sqref="K8">
    <cfRule type="cellIs" dxfId="209" priority="199" operator="equal">
      <formula>$N$8</formula>
    </cfRule>
    <cfRule type="cellIs" dxfId="208" priority="200" operator="greaterThan">
      <formula>$N$8</formula>
    </cfRule>
    <cfRule type="cellIs" dxfId="207" priority="201" operator="lessThan">
      <formula>$N$8</formula>
    </cfRule>
  </conditionalFormatting>
  <conditionalFormatting sqref="K14:K44">
    <cfRule type="cellIs" dxfId="206" priority="31" operator="lessThanOrEqual">
      <formula>0</formula>
    </cfRule>
    <cfRule type="cellIs" dxfId="205" priority="32" operator="greaterThan">
      <formula>0</formula>
    </cfRule>
  </conditionalFormatting>
  <conditionalFormatting sqref="K45">
    <cfRule type="cellIs" dxfId="204" priority="204" operator="lessThan">
      <formula>0</formula>
    </cfRule>
  </conditionalFormatting>
  <conditionalFormatting sqref="N14:O44">
    <cfRule type="cellIs" dxfId="203" priority="11" operator="equal">
      <formula>0</formula>
    </cfRule>
  </conditionalFormatting>
  <conditionalFormatting sqref="P13:P44">
    <cfRule type="cellIs" dxfId="202" priority="2" operator="equal">
      <formula>0</formula>
    </cfRule>
  </conditionalFormatting>
  <conditionalFormatting sqref="P60:P63">
    <cfRule type="cellIs" dxfId="201" priority="58" operator="lessThan">
      <formula>0</formula>
    </cfRule>
  </conditionalFormatting>
  <conditionalFormatting sqref="Q47">
    <cfRule type="cellIs" dxfId="200" priority="47" operator="equal">
      <formula>0</formula>
    </cfRule>
  </conditionalFormatting>
  <conditionalFormatting sqref="T14:T44">
    <cfRule type="cellIs" dxfId="199" priority="262" operator="equal">
      <formula>0</formula>
    </cfRule>
  </conditionalFormatting>
  <conditionalFormatting sqref="T45:W45">
    <cfRule type="cellIs" dxfId="198" priority="146" operator="equal">
      <formula>0</formula>
    </cfRule>
  </conditionalFormatting>
  <conditionalFormatting sqref="T51:W51">
    <cfRule type="cellIs" dxfId="197" priority="25" operator="equal">
      <formula>0</formula>
    </cfRule>
  </conditionalFormatting>
  <conditionalFormatting sqref="U15:W44">
    <cfRule type="cellIs" dxfId="196" priority="236" operator="equal">
      <formula>0</formula>
    </cfRule>
  </conditionalFormatting>
  <conditionalFormatting sqref="U51:Y53">
    <cfRule type="cellIs" dxfId="195" priority="15" operator="equal">
      <formula>0</formula>
    </cfRule>
  </conditionalFormatting>
  <conditionalFormatting sqref="V14">
    <cfRule type="cellIs" dxfId="194" priority="263" operator="equal">
      <formula>0</formula>
    </cfRule>
  </conditionalFormatting>
  <conditionalFormatting sqref="V13:W13">
    <cfRule type="cellIs" dxfId="193" priority="162" operator="equal">
      <formula>0</formula>
    </cfRule>
  </conditionalFormatting>
  <conditionalFormatting sqref="W52">
    <cfRule type="cellIs" dxfId="192" priority="19" operator="equal">
      <formula>0</formula>
    </cfRule>
  </conditionalFormatting>
  <conditionalFormatting sqref="X13:Y45">
    <cfRule type="cellIs" dxfId="191" priority="59" operator="equal">
      <formula>0</formula>
    </cfRule>
  </conditionalFormatting>
  <conditionalFormatting sqref="Z13:Z44">
    <cfRule type="cellIs" dxfId="190" priority="163" operator="equal">
      <formula>0</formula>
    </cfRule>
  </conditionalFormatting>
  <conditionalFormatting sqref="Z51:AC51">
    <cfRule type="cellIs" dxfId="189" priority="23" operator="equal">
      <formula>0</formula>
    </cfRule>
  </conditionalFormatting>
  <conditionalFormatting sqref="Z45:AD45">
    <cfRule type="cellIs" dxfId="188" priority="144" operator="equal">
      <formula>0</formula>
    </cfRule>
  </conditionalFormatting>
  <conditionalFormatting sqref="AA14:AB44">
    <cfRule type="cellIs" dxfId="187" priority="33" operator="equal">
      <formula>0</formula>
    </cfRule>
  </conditionalFormatting>
  <conditionalFormatting sqref="AA51:AE52">
    <cfRule type="cellIs" dxfId="186" priority="5" operator="equal">
      <formula>0</formula>
    </cfRule>
  </conditionalFormatting>
  <conditionalFormatting sqref="AC13:AD44">
    <cfRule type="cellIs" dxfId="185" priority="119" operator="equal">
      <formula>0</formula>
    </cfRule>
  </conditionalFormatting>
  <conditionalFormatting sqref="AE13:AE45">
    <cfRule type="cellIs" dxfId="184" priority="1" operator="equal">
      <formula>0</formula>
    </cfRule>
  </conditionalFormatting>
  <conditionalFormatting sqref="AF13:AG44">
    <cfRule type="cellIs" dxfId="183" priority="73" operator="equal">
      <formula>0</formula>
    </cfRule>
  </conditionalFormatting>
  <conditionalFormatting sqref="AG51:AH51">
    <cfRule type="cellIs" dxfId="182" priority="14" operator="equal">
      <formula>0</formula>
    </cfRule>
  </conditionalFormatting>
  <conditionalFormatting sqref="AH14:AH44">
    <cfRule type="cellIs" dxfId="181" priority="28" operator="equal">
      <formula>0</formula>
    </cfRule>
  </conditionalFormatting>
  <conditionalFormatting sqref="AH51:AH52">
    <cfRule type="cellIs" dxfId="180" priority="12" operator="equal">
      <formula>0</formula>
    </cfRule>
  </conditionalFormatting>
  <dataValidations count="4">
    <dataValidation type="list" allowBlank="1" showInputMessage="1" showErrorMessage="1" sqref="J14:J44" xr:uid="{BB5E6636-36E0-41C9-89EB-0AA5AB43E14A}">
      <formula1>AbwesenheitenStunden</formula1>
    </dataValidation>
    <dataValidation type="list" allowBlank="1" showInputMessage="1" showErrorMessage="1" error="Die Eingabe ist unzulässig_x000a_Bitte Drop Down Felder verwenden" sqref="F14:G44" xr:uid="{7CC089C5-1417-42A3-80E5-D6E0AB73FE7E}">
      <formula1>Zeiten1</formula1>
    </dataValidation>
    <dataValidation type="decimal" allowBlank="1" showInputMessage="1" showErrorMessage="1" error="Die ausgewählte Stundenanzahl steht nicht zur Verfügung!" sqref="J54" xr:uid="{4FAAFD2C-2BCB-47FD-A873-1F96B37FD28D}">
      <formula1>0</formula1>
      <formula2>K54</formula2>
    </dataValidation>
    <dataValidation type="list" allowBlank="1" showInputMessage="1" showErrorMessage="1" sqref="H14:I44" xr:uid="{A07E7C9D-1533-4C0C-BF65-D8AAB22BBFEF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5" id="{B02D56C9-4867-4BDA-A716-8C193D08B764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C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322009E9-B610-4560-BBA1-143F77DE375F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A130D1DD-90FB-4713-8E98-262689ED43CD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63A6C0AE-C238-42CB-AB0D-4BDA5E03326A}">
          <x14:formula1>
            <xm:f>Datenblatt!$D$58:$D$59</xm:f>
          </x14:formula1>
          <xm:sqref>P47 J58</xm:sqref>
        </x14:dataValidation>
        <x14:dataValidation type="list" allowBlank="1" showInputMessage="1" showErrorMessage="1" xr:uid="{EAF43AAA-DC76-431D-98EA-B9B592633BD5}">
          <x14:formula1>
            <xm:f>Datenblatt!$D$52:$D$53</xm:f>
          </x14:formula1>
          <xm:sqref>P48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IF(SUM(N14:O43,L13:L43,AA51:AD51,AA52:AB52)=0,Datenblatt!J110,SUM(N14:O43,L13:L43,AA51:AD51,AA52:AB52,AH51:AH52))</f>
        <v>201.60000000000002</v>
      </c>
      <c r="L6" s="555"/>
      <c r="M6" s="555"/>
      <c r="N6" s="574">
        <f>COUNTIF(D14:E43,"ND")+COUNTIF(D14:E43,"ND12,5")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DATE($D$8,11,1)</f>
        <v>46327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SUM(M13:M43)</f>
        <v>0</v>
      </c>
      <c r="L8" s="554"/>
      <c r="M8" s="554"/>
      <c r="N8" s="555">
        <f>VLOOKUP($B$8,Datenblatt!A100:F123,6,FALSE)</f>
        <v>168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3" si="0">C13</f>
        <v>46326</v>
      </c>
      <c r="C13" s="139">
        <f>C14-1</f>
        <v>46326</v>
      </c>
      <c r="D13" s="143" t="str">
        <f>IF(Oktober!D$44="","",Oktober!D$44)</f>
        <v/>
      </c>
      <c r="E13" s="140" t="str">
        <f>IF(Oktober!E$44="","",Oktober!E$44)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>Ft</v>
      </c>
      <c r="B14" s="80">
        <f t="shared" si="0"/>
        <v>46327</v>
      </c>
      <c r="C14" s="81">
        <f>DATE($D$8,MONTH(B$8),1)</f>
        <v>46327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3" si="2">IF(AND(F14="",G14=""),"",IF(OR(F14&gt;G14,AND(F14="",G14&gt;0),F14=G14),"ungültig",IF(OR(WEEKDAY(B14,2)=7,A14="Ft"),0,(G14-F14)*24)))</f>
        <v/>
      </c>
      <c r="O14" s="200">
        <f t="shared" ref="O14:O43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5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46328</v>
      </c>
      <c r="C15" s="82">
        <f t="shared" ref="C15:C41" si="4">C14+1</f>
        <v>46328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3" si="5">IF(K15="",0,K15)</f>
        <v>0</v>
      </c>
      <c r="U15" s="105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3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3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IF(T15=0,0,IF((AND((ROW(T15)=MATCH(TRUE,($T$1:$T$43)&gt;0,0)))),IF(W15&gt;=6,W15-6,0),IF(W15&gt;=2,2,W15)))</f>
        <v>0</v>
      </c>
      <c r="Y15" s="242">
        <f t="array" ref="Y15">IF(T14=0,0,(IF((AND((ROW(T14)=MATCH(TRUE,($T$1:$T$43)&gt;0,0)))),IF(W14&gt;=6,6,W14),IF(W14&gt;=2,W14-2,0))))</f>
        <v>0</v>
      </c>
      <c r="Z15" s="102" t="str">
        <f t="shared" ref="Z15:Z43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3" si="7">IF(OR(E15="ND",E15="ND12,5"),2,0)</f>
        <v>0</v>
      </c>
      <c r="AD15" s="203">
        <f t="shared" ref="AD15:AD43" si="8">IF(OR(E14="ND",E14="ND12,5"),6,0)</f>
        <v>0</v>
      </c>
      <c r="AE15" s="203">
        <f t="shared" ref="AE15:AE43" si="9">IF(AND(E14="ND",AA15&gt;=2),1,IF(AND(E14="ND12,5",AA15&gt;=2),0.5,0))</f>
        <v>0</v>
      </c>
      <c r="AF15" s="103">
        <f t="shared" ref="AF15:AF43" si="10">IF(OR(D15="ND",D15="ND12,5"),2-X15,0)</f>
        <v>0</v>
      </c>
      <c r="AG15" s="103">
        <f t="shared" ref="AG15:AG43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46329</v>
      </c>
      <c r="C16" s="82">
        <f t="shared" si="4"/>
        <v>46329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3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3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IF(T16=0,0,IF((AND((ROW(T16)=MATCH(TRUE,($T$1:$T$43)&gt;0,0)))),IF(W16&gt;=6,W16-6,0),IF(W16&gt;=2,2,W16)))</f>
        <v>0</v>
      </c>
      <c r="Y16" s="242">
        <f t="array" ref="Y16">IF(T15=0,0,(IF((AND((ROW(T15)=MATCH(TRUE,($T$1:$T$43)&gt;0,0)))),IF(W15&gt;=6,6,W15),IF(W15&gt;=2,W15-2,0))))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46330</v>
      </c>
      <c r="C17" s="82">
        <f t="shared" si="4"/>
        <v>46330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3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3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IF(T17=0,0,IF((AND((ROW(T17)=MATCH(TRUE,($T$1:$T$43)&gt;0,0)))),IF(W17&gt;=6,W17-6,0),IF(W17&gt;=2,2,W17)))</f>
        <v>0</v>
      </c>
      <c r="Y17" s="242">
        <f t="array" ref="Y17">IF(T16=0,0,(IF((AND((ROW(T16)=MATCH(TRUE,($T$1:$T$43)&gt;0,0)))),IF(W16&gt;=6,6,W16),IF(W16&gt;=2,W16-2,0))))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46331</v>
      </c>
      <c r="C18" s="82">
        <f t="shared" si="4"/>
        <v>46331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3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3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IF(T18=0,0,IF((AND((ROW(T18)=MATCH(TRUE,($T$1:$T$43)&gt;0,0)))),IF(W18&gt;=6,W18-6,0),IF(W18&gt;=2,2,W18)))</f>
        <v>0</v>
      </c>
      <c r="Y18" s="242">
        <f t="array" ref="Y18">IF(T17=0,0,(IF((AND((ROW(T17)=MATCH(TRUE,($T$1:$T$43)&gt;0,0)))),IF(W17&gt;=6,6,W17),IF(W17&gt;=2,W17-2,0))))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46332</v>
      </c>
      <c r="C19" s="82">
        <f t="shared" si="4"/>
        <v>46332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3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3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IF(T19=0,0,IF((AND((ROW(T19)=MATCH(TRUE,($T$1:$T$43)&gt;0,0)))),IF(W19&gt;=6,W19-6,0),IF(W19&gt;=2,2,W19)))</f>
        <v>0</v>
      </c>
      <c r="Y19" s="242">
        <f t="array" ref="Y19">IF(T18=0,0,(IF((AND((ROW(T18)=MATCH(TRUE,($T$1:$T$43)&gt;0,0)))),IF(W18&gt;=6,6,W18),IF(W18&gt;=2,W18-2,0))))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46333</v>
      </c>
      <c r="C20" s="82">
        <f t="shared" si="4"/>
        <v>46333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3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3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IF(T20=0,0,IF((AND((ROW(T20)=MATCH(TRUE,($T$1:$T$43)&gt;0,0)))),IF(W20&gt;=6,W20-6,0),IF(W20&gt;=2,2,W20)))</f>
        <v>0</v>
      </c>
      <c r="Y20" s="242">
        <f t="array" ref="Y20">IF(T19=0,0,(IF((AND((ROW(T19)=MATCH(TRUE,($T$1:$T$43)&gt;0,0)))),IF(W19&gt;=6,6,W19),IF(W19&gt;=2,W19-2,0))))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46334</v>
      </c>
      <c r="C21" s="82">
        <f t="shared" si="4"/>
        <v>46334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>
        <f t="shared" si="3"/>
        <v>0</v>
      </c>
      <c r="P21" s="175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3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3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IF(T21=0,0,IF((AND((ROW(T21)=MATCH(TRUE,($T$1:$T$43)&gt;0,0)))),IF(W21&gt;=6,W21-6,0),IF(W21&gt;=2,2,W21)))</f>
        <v>0</v>
      </c>
      <c r="Y21" s="242">
        <f t="array" ref="Y21">IF(T20=0,0,(IF((AND((ROW(T20)=MATCH(TRUE,($T$1:$T$43)&gt;0,0)))),IF(W20&gt;=6,6,W20),IF(W20&gt;=2,W20-2,0))))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46335</v>
      </c>
      <c r="C22" s="82">
        <f t="shared" si="4"/>
        <v>46335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3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3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IF(T22=0,0,IF((AND((ROW(T22)=MATCH(TRUE,($T$1:$T$43)&gt;0,0)))),IF(W22&gt;=6,W22-6,0),IF(W22&gt;=2,2,W22)))</f>
        <v>0</v>
      </c>
      <c r="Y22" s="242">
        <f t="array" ref="Y22">IF(T21=0,0,(IF((AND((ROW(T21)=MATCH(TRUE,($T$1:$T$43)&gt;0,0)))),IF(W21&gt;=6,6,W21),IF(W21&gt;=2,W21-2,0))))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46336</v>
      </c>
      <c r="C23" s="82">
        <f t="shared" si="4"/>
        <v>46336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3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3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IF(T23=0,0,IF((AND((ROW(T23)=MATCH(TRUE,($T$1:$T$43)&gt;0,0)))),IF(W23&gt;=6,W23-6,0),IF(W23&gt;=2,2,W23)))</f>
        <v>0</v>
      </c>
      <c r="Y23" s="242">
        <f t="array" ref="Y23">IF(T22=0,0,(IF((AND((ROW(T22)=MATCH(TRUE,($T$1:$T$43)&gt;0,0)))),IF(W22&gt;=6,6,W22),IF(W22&gt;=2,W22-2,0))))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46337</v>
      </c>
      <c r="C24" s="82">
        <f t="shared" si="4"/>
        <v>46337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3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3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IF(T24=0,0,IF((AND((ROW(T24)=MATCH(TRUE,($T$1:$T$43)&gt;0,0)))),IF(W24&gt;=6,W24-6,0),IF(W24&gt;=2,2,W24)))</f>
        <v>0</v>
      </c>
      <c r="Y24" s="242">
        <f t="array" ref="Y24">IF(T23=0,0,(IF((AND((ROW(T23)=MATCH(TRUE,($T$1:$T$43)&gt;0,0)))),IF(W23&gt;=6,6,W23),IF(W23&gt;=2,W23-2,0))))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46338</v>
      </c>
      <c r="C25" s="82">
        <f t="shared" si="4"/>
        <v>46338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3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3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IF(T25=0,0,IF((AND((ROW(T25)=MATCH(TRUE,($T$1:$T$43)&gt;0,0)))),IF(W25&gt;=6,W25-6,0),IF(W25&gt;=2,2,W25)))</f>
        <v>0</v>
      </c>
      <c r="Y25" s="242">
        <f t="array" ref="Y25">IF(T24=0,0,(IF((AND((ROW(T24)=MATCH(TRUE,($T$1:$T$43)&gt;0,0)))),IF(W24&gt;=6,6,W24),IF(W24&gt;=2,W24-2,0))))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46339</v>
      </c>
      <c r="C26" s="82">
        <f t="shared" si="4"/>
        <v>46339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3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3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IF(T26=0,0,IF((AND((ROW(T26)=MATCH(TRUE,($T$1:$T$43)&gt;0,0)))),IF(W26&gt;=6,W26-6,0),IF(W26&gt;=2,2,W26)))</f>
        <v>0</v>
      </c>
      <c r="Y26" s="242">
        <f t="array" ref="Y26">IF(T25=0,0,(IF((AND((ROW(T25)=MATCH(TRUE,($T$1:$T$43)&gt;0,0)))),IF(W25&gt;=6,6,W25),IF(W25&gt;=2,W25-2,0))))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46340</v>
      </c>
      <c r="C27" s="82">
        <f t="shared" si="4"/>
        <v>46340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3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3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IF(T27=0,0,IF((AND((ROW(T27)=MATCH(TRUE,($T$1:$T$43)&gt;0,0)))),IF(W27&gt;=6,W27-6,0),IF(W27&gt;=2,2,W27)))</f>
        <v>0</v>
      </c>
      <c r="Y27" s="242">
        <f t="array" ref="Y27">IF(T26=0,0,(IF((AND((ROW(T26)=MATCH(TRUE,($T$1:$T$43)&gt;0,0)))),IF(W26&gt;=6,6,W26),IF(W26&gt;=2,W26-2,0))))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46341</v>
      </c>
      <c r="C28" s="82">
        <f t="shared" si="4"/>
        <v>46341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>
        <f t="shared" si="3"/>
        <v>0</v>
      </c>
      <c r="P28" s="175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3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3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IF(T28=0,0,IF((AND((ROW(T28)=MATCH(TRUE,($T$1:$T$43)&gt;0,0)))),IF(W28&gt;=6,W28-6,0),IF(W28&gt;=2,2,W28)))</f>
        <v>0</v>
      </c>
      <c r="Y28" s="242">
        <f t="array" ref="Y28">IF(T27=0,0,(IF((AND((ROW(T27)=MATCH(TRUE,($T$1:$T$43)&gt;0,0)))),IF(W27&gt;=6,6,W27),IF(W27&gt;=2,W27-2,0))))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46342</v>
      </c>
      <c r="C29" s="82">
        <f t="shared" si="4"/>
        <v>46342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3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3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IF(T29=0,0,IF((AND((ROW(T29)=MATCH(TRUE,($T$1:$T$43)&gt;0,0)))),IF(W29&gt;=6,W29-6,0),IF(W29&gt;=2,2,W29)))</f>
        <v>0</v>
      </c>
      <c r="Y29" s="242">
        <f t="array" ref="Y29">IF(T28=0,0,(IF((AND((ROW(T28)=MATCH(TRUE,($T$1:$T$43)&gt;0,0)))),IF(W28&gt;=6,6,W28),IF(W28&gt;=2,W28-2,0))))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46343</v>
      </c>
      <c r="C30" s="82">
        <f t="shared" si="4"/>
        <v>46343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3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3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IF(T30=0,0,IF((AND((ROW(T30)=MATCH(TRUE,($T$1:$T$43)&gt;0,0)))),IF(W30&gt;=6,W30-6,0),IF(W30&gt;=2,2,W30)))</f>
        <v>0</v>
      </c>
      <c r="Y30" s="242">
        <f t="array" ref="Y30">IF(T29=0,0,(IF((AND((ROW(T29)=MATCH(TRUE,($T$1:$T$43)&gt;0,0)))),IF(W29&gt;=6,6,W29),IF(W29&gt;=2,W29-2,0))))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46344</v>
      </c>
      <c r="C31" s="82">
        <f t="shared" si="4"/>
        <v>46344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3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3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IF(T31=0,0,IF((AND((ROW(T31)=MATCH(TRUE,($T$1:$T$43)&gt;0,0)))),IF(W31&gt;=6,W31-6,0),IF(W31&gt;=2,2,W31)))</f>
        <v>0</v>
      </c>
      <c r="Y31" s="242">
        <f t="array" ref="Y31">IF(T30=0,0,(IF((AND((ROW(T30)=MATCH(TRUE,($T$1:$T$43)&gt;0,0)))),IF(W30&gt;=6,6,W30),IF(W30&gt;=2,W30-2,0))))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46345</v>
      </c>
      <c r="C32" s="82">
        <f t="shared" si="4"/>
        <v>46345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3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3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IF(T32=0,0,IF((AND((ROW(T32)=MATCH(TRUE,($T$1:$T$43)&gt;0,0)))),IF(W32&gt;=6,W32-6,0),IF(W32&gt;=2,2,W32)))</f>
        <v>0</v>
      </c>
      <c r="Y32" s="242">
        <f t="array" ref="Y32">IF(T31=0,0,(IF((AND((ROW(T31)=MATCH(TRUE,($T$1:$T$43)&gt;0,0)))),IF(W31&gt;=6,6,W31),IF(W31&gt;=2,W31-2,0))))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46346</v>
      </c>
      <c r="C33" s="82">
        <f t="shared" si="4"/>
        <v>46346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3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3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IF(T33=0,0,IF((AND((ROW(T33)=MATCH(TRUE,($T$1:$T$43)&gt;0,0)))),IF(W33&gt;=6,W33-6,0),IF(W33&gt;=2,2,W33)))</f>
        <v>0</v>
      </c>
      <c r="Y33" s="242">
        <f t="array" ref="Y33">IF(T32=0,0,(IF((AND((ROW(T32)=MATCH(TRUE,($T$1:$T$43)&gt;0,0)))),IF(W32&gt;=6,6,W32),IF(W32&gt;=2,W32-2,0))))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46347</v>
      </c>
      <c r="C34" s="82">
        <f t="shared" si="4"/>
        <v>46347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3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3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IF(T34=0,0,IF((AND((ROW(T34)=MATCH(TRUE,($T$1:$T$43)&gt;0,0)))),IF(W34&gt;=6,W34-6,0),IF(W34&gt;=2,2,W34)))</f>
        <v>0</v>
      </c>
      <c r="Y34" s="242">
        <f t="array" ref="Y34">IF(T33=0,0,(IF((AND((ROW(T33)=MATCH(TRUE,($T$1:$T$43)&gt;0,0)))),IF(W33&gt;=6,6,W33),IF(W33&gt;=2,W33-2,0))))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46348</v>
      </c>
      <c r="C35" s="82">
        <f t="shared" si="4"/>
        <v>46348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>
        <f t="shared" si="3"/>
        <v>0</v>
      </c>
      <c r="P35" s="175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3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3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IF(T35=0,0,IF((AND((ROW(T35)=MATCH(TRUE,($T$1:$T$43)&gt;0,0)))),IF(W35&gt;=6,W35-6,0),IF(W35&gt;=2,2,W35)))</f>
        <v>0</v>
      </c>
      <c r="Y35" s="242">
        <f t="array" ref="Y35">IF(T34=0,0,(IF((AND((ROW(T34)=MATCH(TRUE,($T$1:$T$43)&gt;0,0)))),IF(W34&gt;=6,6,W34),IF(W34&gt;=2,W34-2,0))))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46349</v>
      </c>
      <c r="C36" s="82">
        <f t="shared" si="4"/>
        <v>46349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3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3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IF(T36=0,0,IF((AND((ROW(T36)=MATCH(TRUE,($T$1:$T$43)&gt;0,0)))),IF(W36&gt;=6,W36-6,0),IF(W36&gt;=2,2,W36)))</f>
        <v>0</v>
      </c>
      <c r="Y36" s="242">
        <f t="array" ref="Y36">IF(T35=0,0,(IF((AND((ROW(T35)=MATCH(TRUE,($T$1:$T$43)&gt;0,0)))),IF(W35&gt;=6,6,W35),IF(W35&gt;=2,W35-2,0))))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46350</v>
      </c>
      <c r="C37" s="82">
        <f t="shared" si="4"/>
        <v>46350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3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3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IF(T37=0,0,IF((AND((ROW(T37)=MATCH(TRUE,($T$1:$T$43)&gt;0,0)))),IF(W37&gt;=6,W37-6,0),IF(W37&gt;=2,2,W37)))</f>
        <v>0</v>
      </c>
      <c r="Y37" s="242">
        <f t="array" ref="Y37">IF(T36=0,0,(IF((AND((ROW(T36)=MATCH(TRUE,($T$1:$T$43)&gt;0,0)))),IF(W36&gt;=6,6,W36),IF(W36&gt;=2,W36-2,0))))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46351</v>
      </c>
      <c r="C38" s="82">
        <f t="shared" si="4"/>
        <v>46351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3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3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IF(T38=0,0,IF((AND((ROW(T38)=MATCH(TRUE,($T$1:$T$43)&gt;0,0)))),IF(W38&gt;=6,W38-6,0),IF(W38&gt;=2,2,W38)))</f>
        <v>0</v>
      </c>
      <c r="Y38" s="242">
        <f t="array" ref="Y38">IF(T37=0,0,(IF((AND((ROW(T37)=MATCH(TRUE,($T$1:$T$43)&gt;0,0)))),IF(W37&gt;=6,6,W37),IF(W37&gt;=2,W37-2,0))))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46352</v>
      </c>
      <c r="C39" s="82">
        <f t="shared" si="4"/>
        <v>46352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3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3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IF(T39=0,0,IF((AND((ROW(T39)=MATCH(TRUE,($T$1:$T$43)&gt;0,0)))),IF(W39&gt;=6,W39-6,0),IF(W39&gt;=2,2,W39)))</f>
        <v>0</v>
      </c>
      <c r="Y39" s="242">
        <f t="array" ref="Y39">IF(T38=0,0,(IF((AND((ROW(T38)=MATCH(TRUE,($T$1:$T$43)&gt;0,0)))),IF(W38&gt;=6,6,W38),IF(W38&gt;=2,W38-2,0))))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46353</v>
      </c>
      <c r="C40" s="82">
        <f t="shared" si="4"/>
        <v>46353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3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3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IF(T40=0,0,IF((AND((ROW(T40)=MATCH(TRUE,($T$1:$T$43)&gt;0,0)))),IF(W40&gt;=6,W40-6,0),IF(W40&gt;=2,2,W40)))</f>
        <v>0</v>
      </c>
      <c r="Y40" s="242">
        <f t="array" ref="Y40">IF(T39=0,0,(IF((AND((ROW(T39)=MATCH(TRUE,($T$1:$T$43)&gt;0,0)))),IF(W39&gt;=6,6,W39),IF(W39&gt;=2,W39-2,0))))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46354</v>
      </c>
      <c r="C41" s="82">
        <f t="shared" si="4"/>
        <v>46354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3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3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IF(T41=0,0,IF((AND((ROW(T41)=MATCH(TRUE,($T$1:$T$43)&gt;0,0)))),IF(W41&gt;=6,W41-6,0),IF(W41&gt;=2,2,W41)))</f>
        <v>0</v>
      </c>
      <c r="Y41" s="242">
        <f t="array" ref="Y41">IF(T40=0,0,(IF((AND((ROW(T40)=MATCH(TRUE,($T$1:$T$43)&gt;0,0)))),IF(W40&gt;=6,6,W40),IF(W40&gt;=2,W40-2,0))))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46355</v>
      </c>
      <c r="C42" s="83">
        <f>C41+1</f>
        <v>46355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>
        <f t="shared" si="3"/>
        <v>0</v>
      </c>
      <c r="P42" s="175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2">
        <f t="shared" si="5"/>
        <v>0</v>
      </c>
      <c r="U42" s="105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3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3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IF(T42=0,0,IF((AND((ROW(T42)=MATCH(TRUE,($T$1:$T$43)&gt;0,0)))),IF(W42&gt;=6,W42-6,0),IF(W42&gt;=2,2,W42)))</f>
        <v>0</v>
      </c>
      <c r="Y42" s="242">
        <f t="array" ref="Y42">IF(T41=0,0,(IF((AND((ROW(T41)=MATCH(TRUE,($T$1:$T$43)&gt;0,0)))),IF(W41&gt;=6,6,W41),IF(W41&gt;=2,W41-2,0))))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49">
        <f t="shared" si="0"/>
        <v>46356</v>
      </c>
      <c r="C43" s="150">
        <f>C42+1</f>
        <v>46356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199" t="str">
        <f>IF(D43="","",IF(E42="ND",VLOOKUP(D43,Datenblatt!$A$2:$C$31,3,FALSE)-1,IF(E42="ND12,5",VLOOKUP(D43,Datenblatt!$A$2:$C$31,3,FALSE)-0.5,VLOOKUP(D43,Datenblatt!$A$2:$C$31,3,FALSE)-M44)))</f>
        <v/>
      </c>
      <c r="N43" s="200" t="str">
        <f t="shared" si="2"/>
        <v/>
      </c>
      <c r="O43" s="200" t="str">
        <f t="shared" si="3"/>
        <v/>
      </c>
      <c r="P43" s="175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3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3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2">
        <f t="array" ref="X43">IF(T43=0,0,IF((AND((ROW(T43)=MATCH(TRUE,($T$1:$T$43)&gt;0,0)))),IF(W43&gt;=0,W43-0,0),IF(W43&gt;=2,2,W43)))</f>
        <v>0</v>
      </c>
      <c r="Y43" s="242">
        <f t="array" ref="Y43">IF(T42=0,0,(IF((AND((ROW(T42)=MATCH(TRUE,($T$1:$T$43)&gt;0,0)))),IF(W42&gt;=6,6,W42),IF(W42&gt;=2,W42-2,0))))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 thickBot="1">
      <c r="A44" s="216" t="str">
        <f>IF(ISERROR(VLOOKUP(C44,Datenblatt!$B$84:$B$97,1,FALSE)),"","Ft")</f>
        <v/>
      </c>
      <c r="B44" s="143"/>
      <c r="C44" s="140"/>
      <c r="D44" s="140"/>
      <c r="E44" s="140"/>
      <c r="F44" s="140"/>
      <c r="G44" s="140"/>
      <c r="H44" s="140"/>
      <c r="I44" s="140"/>
      <c r="J44" s="144">
        <f>SUM(J14:J43)</f>
        <v>0</v>
      </c>
      <c r="K44" s="202">
        <f>SUM(K14:K43)</f>
        <v>0</v>
      </c>
      <c r="L44" s="162" t="str">
        <f>IF(D43="ND",9,IF(D43="ND12,5",8.5,"0"))</f>
        <v>0</v>
      </c>
      <c r="M44" s="162" t="str">
        <f>IF(D43="ND",9,IF(D43="ND12,5",8.5,"0"))</f>
        <v>0</v>
      </c>
      <c r="N44" s="208">
        <f t="shared" ref="N44:O44" si="12">SUM(N14:N43)</f>
        <v>0</v>
      </c>
      <c r="O44" s="208">
        <f t="shared" si="12"/>
        <v>0</v>
      </c>
      <c r="P44" s="186">
        <f>SUM(P14:P43)</f>
        <v>0</v>
      </c>
      <c r="Q44" s="165"/>
      <c r="R44" s="146"/>
      <c r="S44" s="147"/>
      <c r="T44" s="145"/>
      <c r="U44" s="106"/>
      <c r="V44" s="107"/>
      <c r="W44" s="107"/>
      <c r="X44" s="107"/>
      <c r="Y44" s="107"/>
      <c r="Z44" s="145"/>
      <c r="AA44" s="204"/>
      <c r="AB44" s="204"/>
      <c r="AC44" s="204"/>
      <c r="AD44" s="204"/>
      <c r="AE44" s="204"/>
      <c r="AF44" s="204"/>
      <c r="AG44" s="204"/>
      <c r="AH44" s="204"/>
    </row>
    <row r="45" spans="1:34" s="77" customFormat="1" ht="0.75" customHeight="1" thickBot="1">
      <c r="A45" s="419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8"/>
      <c r="U45" s="108"/>
      <c r="V45" s="108"/>
      <c r="W45" s="108"/>
      <c r="X45" s="108"/>
      <c r="Y45" s="108"/>
      <c r="Z45" s="176"/>
      <c r="AA45" s="205"/>
      <c r="AB45" s="205"/>
      <c r="AC45" s="205"/>
      <c r="AD45" s="205"/>
      <c r="AE45" s="205"/>
      <c r="AF45" s="109"/>
      <c r="AG45" s="109"/>
      <c r="AH45" s="109"/>
    </row>
    <row r="46" spans="1:34" s="63" customFormat="1">
      <c r="A46" s="216"/>
      <c r="B46" s="158" t="s">
        <v>146</v>
      </c>
      <c r="C46" s="158"/>
      <c r="D46" s="56"/>
      <c r="E46" s="56"/>
      <c r="F46" s="54"/>
      <c r="G46" s="54"/>
      <c r="H46" s="54"/>
      <c r="I46" s="239"/>
      <c r="J46" s="239"/>
      <c r="K46" s="239"/>
      <c r="L46" s="608" t="s">
        <v>288</v>
      </c>
      <c r="M46" s="608"/>
      <c r="N46" s="608"/>
      <c r="O46" s="609"/>
      <c r="P46" s="190" t="s">
        <v>145</v>
      </c>
      <c r="Q46" s="315">
        <f>IF($P$46="ja",SUMPRODUCT((WEEKDAY($B$14:$B$43,2)=1)*2),0)</f>
        <v>0</v>
      </c>
      <c r="R46" s="148"/>
      <c r="S46" s="161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1"/>
      <c r="AG46" s="231"/>
      <c r="AH46" s="231"/>
    </row>
    <row r="47" spans="1:34" s="63" customFormat="1">
      <c r="A47" s="216"/>
      <c r="B47" s="180" t="str">
        <f>"Verrechnung von Sonderzahlungen, Überstunden, Nachtgutstunden und Nachtdiensten erfolgt im Folgemonat"&amp;" "&amp;Start!$B$26</f>
        <v>Verrechnung von Sonderzahlungen, Überstunden, Nachtgutstunden und Nachtdiensten erfolgt im Folgemonat Dezember</v>
      </c>
      <c r="C47" s="158"/>
      <c r="D47" s="56"/>
      <c r="E47" s="56"/>
      <c r="F47" s="54"/>
      <c r="G47" s="54"/>
      <c r="H47" s="78"/>
      <c r="I47" s="78"/>
      <c r="J47" s="79"/>
      <c r="K47" s="79"/>
      <c r="L47" s="606" t="s">
        <v>289</v>
      </c>
      <c r="M47" s="606"/>
      <c r="N47" s="606"/>
      <c r="O47" s="607"/>
      <c r="P47" s="193" t="s">
        <v>291</v>
      </c>
      <c r="Q47" s="314" t="str">
        <f>IF($P$47="Freizeit","       als Gutstunden abgerechnet","       im Folgemonat ausbezahlt")</f>
        <v xml:space="preserve">       als Gutstunden abgerechnet</v>
      </c>
      <c r="R47" s="192"/>
      <c r="S47" s="18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ht="15" thickBot="1"/>
    <row r="49" spans="2:34" ht="15" hidden="1" thickBot="1"/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"&amp;Start!$B$25</f>
        <v>Monatsprofil November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COUNTIF($D$14:$E$43,"U")-COUNTIFS($D$14:$D$43,"U",$E$14:$E$43,"K")-COUNTIFS($D$14:$D$43,"U",$E$14:$E$43,"PK")</f>
        <v>0</v>
      </c>
      <c r="C51" s="403" t="s">
        <v>18</v>
      </c>
      <c r="D51" s="404">
        <f>SUMIFS($P$14:$P$43,$D$14:$D$43,"U")+SUMIFS($P$14:$P$43,$E$14:$E$43,"U")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IF(OR(Start!$D$8=Gehalt!$K$37,Start!$D$8=Gehalt!$K$39,Start!$D$8=Gehalt!$K$41),Gehalt!$M$29,0)</f>
        <v>0</v>
      </c>
      <c r="N51" s="543"/>
      <c r="O51" s="544"/>
      <c r="P51" s="545"/>
      <c r="T51" s="253" t="s">
        <v>392</v>
      </c>
      <c r="U51" s="110">
        <f>SUMPRODUCT(($U$14:$U$43)*(ISNUMBER(FIND("Ft",$A$14:$A$43))))+SUMPRODUCT((($U$14:$U$43)*1)*(WEEKDAY($B$14:$B$43,2)=7))-SUMPRODUCT((($U$14:$U$43)*1)*(WEEKDAY($B$14:$B$43,2)=7)*(ISNUMBER(FIND("Ft",$A$14:$A$43))))</f>
        <v>0</v>
      </c>
      <c r="V51" s="110">
        <f>SUMPRODUCT(($V$14:$V$43)*(ISNUMBER(FIND("Ft",$A$14:$A$43))))+SUMPRODUCT((($V$14:$V$43)*1)*(WEEKDAY($B$14:$B$43,2)=7))-SUMPRODUCT((($V$14:$V$43)*1)*(WEEKDAY($B$14:$B$43,2)=7)*(ISNUMBER(FIND("Ft",$A$14:$A$43))))</f>
        <v>0</v>
      </c>
      <c r="W51" s="110">
        <f>SUM($W$14:$W$43)</f>
        <v>0</v>
      </c>
      <c r="X51" s="438"/>
      <c r="Y51" s="439"/>
      <c r="Z51" s="253" t="s">
        <v>392</v>
      </c>
      <c r="AA51" s="203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3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3">
        <f>SUM($AC$14:$AC$43)</f>
        <v>0</v>
      </c>
      <c r="AD51" s="203">
        <f>SUM($AD$14:$AD$43)</f>
        <v>0</v>
      </c>
      <c r="AE51" s="206"/>
      <c r="AF51" s="177"/>
      <c r="AG51" s="253" t="s">
        <v>392</v>
      </c>
      <c r="AH51" s="203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1">
        <f>COUNTIF($D$14:$E$43,"ZA")-COUNTIFS($D$14:$D$43,"ZA",$E$14:$E$43,"K")-COUNTIFS($D$14:$D$43,"ZA",$E$14:$E$43,"PK")</f>
        <v>0</v>
      </c>
      <c r="C52" s="403" t="s">
        <v>21</v>
      </c>
      <c r="D52" s="406">
        <f>SUMIFS($P$14:$P$43,$D$14:$D$43,"ZA")+SUMIFS($P$14:$P$43,$E$14:$E$43,"ZA")-$J$44</f>
        <v>0</v>
      </c>
      <c r="E52" s="407">
        <f>IF($P$47="Freizeit",SUM($N$44*1.5,$O$44*2),0)+$J$54*1.5</f>
        <v>0</v>
      </c>
      <c r="G52" s="295" t="str">
        <f>"9545 Nachtdienstpauschale Gesamt ("&amp;""&amp;Gehalt!$M$25&amp;""&amp;"€/h)"</f>
        <v>9545 Nachtdienstpauschale Gesamt (31,48€/h)</v>
      </c>
      <c r="H52" s="141"/>
      <c r="I52" s="141"/>
      <c r="J52" s="141"/>
      <c r="K52" s="245">
        <f>SUM($AF$14:$AG$43)</f>
        <v>0</v>
      </c>
      <c r="L52" s="215">
        <f>$K$52*Gehalt!$M$25</f>
        <v>0</v>
      </c>
      <c r="N52" s="538" t="s">
        <v>236</v>
      </c>
      <c r="O52" s="539"/>
      <c r="P52" s="318">
        <f>VLOOKUP($B$8,Datenblatt!$A$100:$I$112,2,FALSE)</f>
        <v>30</v>
      </c>
      <c r="T52" s="254" t="s">
        <v>103</v>
      </c>
      <c r="U52" s="249">
        <f>SUM($U$14:$U$43)-$U$51</f>
        <v>0</v>
      </c>
      <c r="V52" s="249">
        <f>SUM($V$14:$V$43)-$V$51</f>
        <v>0</v>
      </c>
      <c r="W52" s="441"/>
      <c r="X52" s="440"/>
      <c r="Y52" s="439"/>
      <c r="Z52" s="255" t="s">
        <v>103</v>
      </c>
      <c r="AA52" s="203">
        <f>SUM($AA$14:$AA$43)-$AA$51</f>
        <v>0</v>
      </c>
      <c r="AB52" s="203">
        <f>SUM($AB$14:$AB$43)-$AB$51</f>
        <v>0</v>
      </c>
      <c r="AC52" s="437"/>
      <c r="AD52" s="204"/>
      <c r="AE52" s="206"/>
      <c r="AF52" s="177"/>
      <c r="AG52" s="255" t="s">
        <v>103</v>
      </c>
      <c r="AH52" s="203">
        <f>SUM($AH$14:$AH$43)-$AH$51</f>
        <v>0</v>
      </c>
    </row>
    <row r="53" spans="2:34" s="84" customFormat="1" ht="13" customHeight="1">
      <c r="B53" s="321">
        <f>COUNTIF($D$14:$E$43,"RG")-COUNTIFS($D$14:$D$43,"U",$E$14:$E$43,"RG")-COUNTIFS($D$14:$D$43,"RG",$E$14:$E$43,"PK")</f>
        <v>0</v>
      </c>
      <c r="C53" s="325" t="s">
        <v>131</v>
      </c>
      <c r="D53" s="404">
        <f>SUMIFS($P$14:$P$43,$D$14:$D$43,"RG")+SUMIFS($P$14:$P$43,$E$14:$E$43,"RG")</f>
        <v>0</v>
      </c>
      <c r="E53" s="408">
        <f>$Q$46</f>
        <v>0</v>
      </c>
      <c r="G53" s="295" t="str">
        <f>"9547 Sonn- und Feiertagszulage ("&amp;""&amp;Gehalt!$M$26&amp;""&amp;"€/h)"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$K$53*Gehalt!$M$26</f>
        <v>0</v>
      </c>
      <c r="N53" s="538" t="s">
        <v>237</v>
      </c>
      <c r="O53" s="539"/>
      <c r="P53" s="318">
        <f>VLOOKUP($B$8,Datenblatt!$A$100:$I$112,3,FALSE)</f>
        <v>1</v>
      </c>
      <c r="T53" s="252" t="s">
        <v>393</v>
      </c>
      <c r="U53" s="103">
        <f>SUMPRODUCT(($U$14:$U$43)*(ISNUMBER(FIND("Ft",$A$14:$A$43))))+SUMPRODUCT((($U$14:$U$43)*1)*(WEEKDAY($B$14:$B$43,2)=7))-SUMPRODUCT((($U$14:$U$43)*1)*(WEEKDAY($B$14:$B$43,2)=7)*(ISNUMBER(FIND("Ft",$A$14:$A$43))))</f>
        <v>0</v>
      </c>
      <c r="V53" s="103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2"/>
      <c r="X53" s="103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3">
        <f>SUMPRODUCT(($Y$14:$Y$43)*(ISNUMBER(FIND("Ft",$A$14:$A$43))))+SUMPRODUCT((($Y$14:$Y$43)*1)*(WEEKDAY($B$14:$B$43,2)=7))-SUMPRODUCT((($Y$14:$Y$43)*1)*(WEEKDAY($B$14:$B$43,2)=7)*(ISNUMBER(FIND("Ft",$A$14:$A$43))))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COUNTIF($D$14:$E$43,"NDG")-COUNTIFS($D$14:$D$43,"NDG",$E$14:$E$43,"K")-COUNTIFS($D$14:$D$43,"NDG",$E$14:$E$43,"PK")</f>
        <v>0</v>
      </c>
      <c r="C54" s="325" t="s">
        <v>130</v>
      </c>
      <c r="D54" s="404">
        <f>SUMIFS($P$14:$P$43,$D$14:$D$43,"NDG")+SUMIFS($P$14:$P$43,$E$14:$E$43,"NDG")</f>
        <v>0</v>
      </c>
      <c r="E54" s="408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35" t="s">
        <v>294</v>
      </c>
      <c r="H54" s="536"/>
      <c r="I54" s="537"/>
      <c r="J54" s="356">
        <v>0</v>
      </c>
      <c r="K54" s="214">
        <f>IF($P$47="finanziell",SUM($L$62),0)+$L$66+$L$70-$J$54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9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SUMIFS($M$14:$M$43,$D$14:$D$43,"U")</f>
        <v>0</v>
      </c>
      <c r="E55" s="405"/>
      <c r="G55" s="295" t="s">
        <v>226</v>
      </c>
      <c r="H55" s="141"/>
      <c r="I55" s="141"/>
      <c r="J55" s="141"/>
      <c r="K55" s="214">
        <f>IF($P$47="finanziell",SUM($L$63),0)+$L$71+$L$67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21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COUNTIF($D$14:$E$43,"SU")-COUNTIFS($D$14:$D$43,"SU",$E$14:$E$43,"K")-COUNTIFS($D$14:$D$43,"SU",$E$14:$E$43,"PK")</f>
        <v>0</v>
      </c>
      <c r="C56" s="325" t="s">
        <v>171</v>
      </c>
      <c r="D56" s="404">
        <f>SUMIFS($M$14:$M$43,$D$14:$D$43,"SU")</f>
        <v>0</v>
      </c>
      <c r="E56" s="405"/>
      <c r="G56" s="295" t="s">
        <v>284</v>
      </c>
      <c r="H56" s="141"/>
      <c r="I56" s="141"/>
      <c r="J56" s="141"/>
      <c r="K56" s="213">
        <f ca="1">IF(Oktober!$P$63-SUM(Start!$E$20:$E$25)*2&lt;=0,0,Oktober!$P$63-SUM(Start!$E$20:$E$25)*2)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21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COUNTIF($D$14:$E$43,"PK")</f>
        <v>0</v>
      </c>
      <c r="C57" s="325" t="s">
        <v>170</v>
      </c>
      <c r="D57" s="404">
        <f>SUMIFS($M$14:$M$43,$D$14:$D$43,"PK")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IF(OR(Start!$D$8=Gehalt!$K$37,Start!$D$8=Gehalt!$K$39,Start!$D$8=Gehalt!$K$41),SUMIFS($M$14:$M$43,$Q$14:$Q$43,"=Tagdienst*",$E$14:$E$43,"&lt;&gt;*")+SUMIFS($AH$14:$AH$43,$R$14:$R$43,"=Tagdienst*"),0)</f>
        <v>0</v>
      </c>
      <c r="L57" s="215">
        <f>$K$57*Gehalt!$M$28</f>
        <v>0</v>
      </c>
      <c r="N57" s="538" t="s">
        <v>235</v>
      </c>
      <c r="O57" s="539"/>
      <c r="P57" s="318">
        <f>VLOOKUP($B$8,Datenblatt!$A$100:$I$112,6,FALSE)</f>
        <v>168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COUNTIF($D$14:$E$43,"K")+COUNTIF($D$14:$E$43,"KA")</f>
        <v>0</v>
      </c>
      <c r="C58" s="325" t="s">
        <v>412</v>
      </c>
      <c r="D58" s="404">
        <f>SUMIFS($M$14:$M$43,$D$14:$D$43,"K")+SUMIFS($M$14:$M$43,$D$14:$D$43,"KA")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IF($J$58="ja",Gehalt!$M$27*2,0)</f>
        <v>0</v>
      </c>
      <c r="N58" s="546" t="str">
        <f>"Stundenkonto Monatsende"&amp;" "&amp;Start!$B$25</f>
        <v>Stundenkonto Monatsende November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COUNTIF($L$14:$L$43,"n.b.")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COUNTIF($D$14:$E$43,"DV")</f>
        <v>0</v>
      </c>
      <c r="C60" s="325" t="s">
        <v>110</v>
      </c>
      <c r="D60" s="404">
        <f>SUMIFS($P$14:$P$43,$D$14:$D$43,"DV")+SUMIFS($P$14:$P$43,$E$14:$E$43,"DV")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Start!$C$32+SUM(Jänner:November!$D$51)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COUNTIF($D$14:$E$43,"WR")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Start!$C$33+SUM(Jänner:November!$D$52)+SUM(Jänner:November!$E$52)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355"/>
      <c r="L62" s="342">
        <f>SUM($N$14:$N$43)</f>
        <v>0</v>
      </c>
      <c r="M62" s="84"/>
      <c r="N62" s="538" t="s">
        <v>147</v>
      </c>
      <c r="O62" s="539"/>
      <c r="P62" s="318">
        <f>Start!$C$34+SUM(Jänner:November!$D$53)+SUM(Jänner:November!$E$53)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SUM($O$14:$O$43)</f>
        <v>0</v>
      </c>
      <c r="M63" s="84"/>
      <c r="N63" s="610" t="s">
        <v>165</v>
      </c>
      <c r="O63" s="611"/>
      <c r="P63" s="320">
        <f ca="1">Start!$C$35+SUM(Jänner:November!$D$54)+SUM(Jänner:November!$E$54)-SUM(Jänner:November!$K$56)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SUM(Jänner:November!$D$51)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SUM(Jänner:November!$D$52)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SUM(Jänner:November!$D$53)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SUM(Jänner:November!$D$54)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SUM(Jänner:November!$B$56)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SUM(Jänner:November!$B$57)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SUM(Jänner:November!$B$58)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168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SUMPRODUCT(($D$14:$D$43="ND")*($A$14:$A$43="Ft"))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SUMPRODUCT(($A$13:$A$42="Ft")*($D$13:$D$42="ND")*($A$14:$A$43="Ft"))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SUMPRODUCT((WEEKDAY($B$13:$B$42,2)=6)*($D$13:$D$42="ND12,5"))-SUMPRODUCT((WEEKDAY($B$13:$B$42,2)=6)*($D$13:$D$42="ND12,5")*($A$13:$A$42="Ft"))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SUMPRODUCT((WEEKDAY($B$14:$B$43,2)=7)*($D$14:$D$43="ND12,5"))-SUMPRODUCT((WEEKDAY($B$14:$B$43,2)=7)*($D$14:$D$43="ND12,5")*($A$14:$A$43="Ft"))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SUMPRODUCT(($D$14:$D$43="ND12,5")*($A$14:$A$43="Ft"))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SUMPRODUCT(($A$13:$A$42="Ft")*($D$13:$D$42="ND12,5")*($A$14:$A$43="Ft"))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WVQhXU/CvWKUlqJfxfN/jodNw8MFq7DQ8fUarJZLi9ym4AvXia3SfK6v9QZxqCU+LuiJX7ehzghyGGqy7VKbWQ==" saltValue="j8tiSfZ2aVngTBN3NgEtaw==" spinCount="100000" sheet="1" selectLockedCells="1"/>
  <mergeCells count="63">
    <mergeCell ref="N57:O57"/>
    <mergeCell ref="N50:P51"/>
    <mergeCell ref="N52:O52"/>
    <mergeCell ref="N64:P65"/>
    <mergeCell ref="N66:O66"/>
    <mergeCell ref="N63:O63"/>
    <mergeCell ref="N53:O53"/>
    <mergeCell ref="N54:O54"/>
    <mergeCell ref="L47:O47"/>
    <mergeCell ref="N55:O55"/>
    <mergeCell ref="N56:O56"/>
    <mergeCell ref="K5:M5"/>
    <mergeCell ref="L9:L11"/>
    <mergeCell ref="M9:M11"/>
    <mergeCell ref="K6:M6"/>
    <mergeCell ref="L46:O46"/>
    <mergeCell ref="N9:N11"/>
    <mergeCell ref="O9:O11"/>
    <mergeCell ref="N13:O13"/>
    <mergeCell ref="K8:M8"/>
    <mergeCell ref="N8:P8"/>
    <mergeCell ref="K7:M7"/>
    <mergeCell ref="N7:P7"/>
    <mergeCell ref="K9:K11"/>
    <mergeCell ref="P9:P11"/>
    <mergeCell ref="N6:P6"/>
    <mergeCell ref="N5:P5"/>
    <mergeCell ref="AG10:AG11"/>
    <mergeCell ref="S9:S11"/>
    <mergeCell ref="Q9:Q11"/>
    <mergeCell ref="R9:R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J9:J11"/>
    <mergeCell ref="B9:C11"/>
    <mergeCell ref="D9:D11"/>
    <mergeCell ref="C50:D50"/>
    <mergeCell ref="G54:I54"/>
    <mergeCell ref="E9:E11"/>
    <mergeCell ref="F9:G10"/>
    <mergeCell ref="H9:I10"/>
    <mergeCell ref="N70:O70"/>
    <mergeCell ref="N71:O71"/>
    <mergeCell ref="N72:O72"/>
    <mergeCell ref="N60:O60"/>
    <mergeCell ref="N58:P59"/>
    <mergeCell ref="N61:O61"/>
    <mergeCell ref="N62:O62"/>
    <mergeCell ref="N69:O69"/>
    <mergeCell ref="N67:O67"/>
    <mergeCell ref="N68:O68"/>
  </mergeCells>
  <conditionalFormatting sqref="A13:A43">
    <cfRule type="cellIs" dxfId="179" priority="10" operator="equal">
      <formula>"HFT"</formula>
    </cfRule>
    <cfRule type="cellIs" dxfId="178" priority="11" operator="equal">
      <formula>"FT"</formula>
    </cfRule>
  </conditionalFormatting>
  <conditionalFormatting sqref="A44">
    <cfRule type="cellIs" dxfId="177" priority="324" operator="equal">
      <formula>"Ft"</formula>
    </cfRule>
  </conditionalFormatting>
  <conditionalFormatting sqref="B13:C43">
    <cfRule type="expression" dxfId="176" priority="325">
      <formula>WEEKDAY($C13,2)&gt;5</formula>
    </cfRule>
  </conditionalFormatting>
  <conditionalFormatting sqref="E8">
    <cfRule type="cellIs" dxfId="174" priority="53" operator="greaterThan">
      <formula>48</formula>
    </cfRule>
  </conditionalFormatting>
  <conditionalFormatting sqref="I46:K46">
    <cfRule type="cellIs" dxfId="173" priority="136" operator="equal">
      <formula>"Wochenarbeitszeit überschritten"</formula>
    </cfRule>
  </conditionalFormatting>
  <conditionalFormatting sqref="J44:P44">
    <cfRule type="cellIs" dxfId="172" priority="179" operator="equal">
      <formula>0</formula>
    </cfRule>
  </conditionalFormatting>
  <conditionalFormatting sqref="K8">
    <cfRule type="cellIs" dxfId="171" priority="232" operator="equal">
      <formula>$N$8</formula>
    </cfRule>
    <cfRule type="cellIs" dxfId="170" priority="234" operator="lessThan">
      <formula>$N$8</formula>
    </cfRule>
    <cfRule type="cellIs" dxfId="169" priority="233" operator="greaterThan">
      <formula>$N$8</formula>
    </cfRule>
  </conditionalFormatting>
  <conditionalFormatting sqref="K14:K43">
    <cfRule type="cellIs" dxfId="168" priority="41" operator="lessThanOrEqual">
      <formula>0</formula>
    </cfRule>
    <cfRule type="cellIs" dxfId="167" priority="42" operator="greaterThan">
      <formula>0</formula>
    </cfRule>
  </conditionalFormatting>
  <conditionalFormatting sqref="K44">
    <cfRule type="cellIs" dxfId="166" priority="237" operator="lessThan">
      <formula>0</formula>
    </cfRule>
  </conditionalFormatting>
  <conditionalFormatting sqref="N14:O43">
    <cfRule type="cellIs" dxfId="165" priority="13" operator="equal">
      <formula>0</formula>
    </cfRule>
  </conditionalFormatting>
  <conditionalFormatting sqref="P13:P43">
    <cfRule type="cellIs" dxfId="164" priority="2" operator="equal">
      <formula>0</formula>
    </cfRule>
  </conditionalFormatting>
  <conditionalFormatting sqref="P60:P63">
    <cfRule type="cellIs" dxfId="163" priority="72" operator="lessThan">
      <formula>0</formula>
    </cfRule>
  </conditionalFormatting>
  <conditionalFormatting sqref="Q46">
    <cfRule type="cellIs" dxfId="162" priority="57" operator="equal">
      <formula>0</formula>
    </cfRule>
  </conditionalFormatting>
  <conditionalFormatting sqref="T14:T43">
    <cfRule type="cellIs" dxfId="161" priority="39" operator="equal">
      <formula>0</formula>
    </cfRule>
  </conditionalFormatting>
  <conditionalFormatting sqref="T51:W51">
    <cfRule type="cellIs" dxfId="160" priority="29" operator="equal">
      <formula>0</formula>
    </cfRule>
  </conditionalFormatting>
  <conditionalFormatting sqref="T44:AD44">
    <cfRule type="cellIs" dxfId="159" priority="123" operator="equal">
      <formula>0</formula>
    </cfRule>
  </conditionalFormatting>
  <conditionalFormatting sqref="U15:W43">
    <cfRule type="cellIs" dxfId="158" priority="36" operator="equal">
      <formula>0</formula>
    </cfRule>
  </conditionalFormatting>
  <conditionalFormatting sqref="U51:Y53">
    <cfRule type="cellIs" dxfId="157" priority="19" operator="equal">
      <formula>0</formula>
    </cfRule>
  </conditionalFormatting>
  <conditionalFormatting sqref="V14">
    <cfRule type="cellIs" dxfId="156" priority="38" operator="equal">
      <formula>0</formula>
    </cfRule>
  </conditionalFormatting>
  <conditionalFormatting sqref="V13:Y13">
    <cfRule type="cellIs" dxfId="155" priority="74" operator="equal">
      <formula>0</formula>
    </cfRule>
  </conditionalFormatting>
  <conditionalFormatting sqref="W52">
    <cfRule type="cellIs" dxfId="154" priority="23" operator="equal">
      <formula>0</formula>
    </cfRule>
  </conditionalFormatting>
  <conditionalFormatting sqref="X14:Y43">
    <cfRule type="cellIs" dxfId="153" priority="35" operator="equal">
      <formula>0</formula>
    </cfRule>
  </conditionalFormatting>
  <conditionalFormatting sqref="Z13:Z43">
    <cfRule type="cellIs" dxfId="152" priority="190" operator="equal">
      <formula>0</formula>
    </cfRule>
  </conditionalFormatting>
  <conditionalFormatting sqref="Z51:AC51">
    <cfRule type="cellIs" dxfId="151" priority="27" operator="equal">
      <formula>0</formula>
    </cfRule>
  </conditionalFormatting>
  <conditionalFormatting sqref="AA14:AB43">
    <cfRule type="cellIs" dxfId="150" priority="43" operator="equal">
      <formula>0</formula>
    </cfRule>
  </conditionalFormatting>
  <conditionalFormatting sqref="AA51:AE52">
    <cfRule type="cellIs" dxfId="149" priority="4" operator="equal">
      <formula>0</formula>
    </cfRule>
  </conditionalFormatting>
  <conditionalFormatting sqref="AC13:AD43">
    <cfRule type="cellIs" dxfId="148" priority="143" operator="equal">
      <formula>0</formula>
    </cfRule>
  </conditionalFormatting>
  <conditionalFormatting sqref="AE13:AE44">
    <cfRule type="cellIs" dxfId="147" priority="1" operator="equal">
      <formula>0</formula>
    </cfRule>
  </conditionalFormatting>
  <conditionalFormatting sqref="AF13:AG43">
    <cfRule type="cellIs" dxfId="146" priority="87" operator="equal">
      <formula>0</formula>
    </cfRule>
  </conditionalFormatting>
  <conditionalFormatting sqref="AF44:AH44">
    <cfRule type="cellIs" dxfId="145" priority="64" operator="equal">
      <formula>0</formula>
    </cfRule>
  </conditionalFormatting>
  <conditionalFormatting sqref="AG51:AH51">
    <cfRule type="cellIs" dxfId="144" priority="18" operator="equal">
      <formula>0</formula>
    </cfRule>
  </conditionalFormatting>
  <conditionalFormatting sqref="AH14:AH43">
    <cfRule type="cellIs" dxfId="143" priority="32" operator="equal">
      <formula>0</formula>
    </cfRule>
  </conditionalFormatting>
  <conditionalFormatting sqref="AH51:AH52">
    <cfRule type="cellIs" dxfId="142" priority="16" operator="equal">
      <formula>0</formula>
    </cfRule>
  </conditionalFormatting>
  <dataValidations count="4">
    <dataValidation type="list" allowBlank="1" showInputMessage="1" showErrorMessage="1" sqref="J14:J43" xr:uid="{541CCDC0-A2A4-4E38-9183-612E1A07AF38}">
      <formula1>AbwesenheitenStunden</formula1>
    </dataValidation>
    <dataValidation type="list" allowBlank="1" showInputMessage="1" showErrorMessage="1" error="Die Eingabe ist unzulässig_x000a_Bitte Drop Down Felder verwenden" sqref="F14:G43" xr:uid="{B36627F5-F9B8-412B-9FB9-4B8CC0D7A23B}">
      <formula1>Zeiten1</formula1>
    </dataValidation>
    <dataValidation type="decimal" allowBlank="1" showInputMessage="1" showErrorMessage="1" error="Die ausgewählte Stundenanzahl steht nicht zur Verfügung!" sqref="J54" xr:uid="{EC4915C2-2092-4F2F-A6A4-C3D12BE762DC}">
      <formula1>0</formula1>
      <formula2>K54</formula2>
    </dataValidation>
    <dataValidation type="list" allowBlank="1" showInputMessage="1" showErrorMessage="1" sqref="H14:I43" xr:uid="{346B93DD-BF02-4069-91A9-B093AE4126E8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7" id="{9679E64A-ECA0-408C-AEBB-B5D8B6404F13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D00-000007000000}">
          <x14:formula1>
            <xm:f>Datenblatt!$A$31:$A$51</xm:f>
          </x14:formula1>
          <xm:sqref>A45 AF46:AH46 AI45:XFD45 L45:AE45</xm:sqref>
        </x14:dataValidation>
        <x14:dataValidation type="list" allowBlank="1" showInputMessage="1" showErrorMessage="1" xr:uid="{5C45CB4B-2E6D-496C-B61F-02CF30AEC988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00B86E5F-4B7A-40BD-9B1A-3E80D59B3F27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AEB84D9B-8989-45DF-9185-DB67DD7CDDF2}">
          <x14:formula1>
            <xm:f>Datenblatt!$D$58:$D$59</xm:f>
          </x14:formula1>
          <xm:sqref>P46 J58</xm:sqref>
        </x14:dataValidation>
        <x14:dataValidation type="list" allowBlank="1" showInputMessage="1" showErrorMessage="1" xr:uid="{B8C797F6-4668-4BEA-BD01-8A47FD702399}">
          <x14:formula1>
            <xm:f>Datenblatt!$D$52:$D$53</xm:f>
          </x14:formula1>
          <xm:sqref>P47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IF(SUM(N14:O44,L13:L44,AA51:AD51,AA52:AB52)=0,Datenblatt!J111,SUM(N14:O44,L13:L44,AA51:AD51,AA52:AB52,AH51:AH52))</f>
        <v>220.8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DATE($D$8,12,1)</f>
        <v>46357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168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46356</v>
      </c>
      <c r="C13" s="139">
        <f>C14-1</f>
        <v>46356</v>
      </c>
      <c r="D13" s="143" t="str">
        <f>IF(November!D$43="","",November!D$43)</f>
        <v/>
      </c>
      <c r="E13" s="140" t="str">
        <f>IF(November!E$43="","",November!E$43)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:Z44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46357</v>
      </c>
      <c r="C14" s="81">
        <f>DATE($D$8,MONTH(B$8),1)</f>
        <v>46357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 t="shared" si="1"/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 t="shared" ref="AC14:AC44" si="4">IF(OR(E14="ND",E14="ND12,5"),2,0)</f>
        <v>0</v>
      </c>
      <c r="AD14" s="203">
        <f t="shared" ref="AD14:AD44" si="5"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46358</v>
      </c>
      <c r="C15" s="82">
        <f t="shared" ref="C15:C41" si="6">C14+1</f>
        <v>46358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7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si="1"/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si="4"/>
        <v>0</v>
      </c>
      <c r="AD15" s="203">
        <f t="shared" si="5"/>
        <v>0</v>
      </c>
      <c r="AE15" s="203">
        <f t="shared" ref="AE15:AE44" si="8">IF(AND(E14="ND",AA15&gt;=2),1,IF(AND(E14="ND12,5",AA15&gt;=2),0.5,0))</f>
        <v>0</v>
      </c>
      <c r="AF15" s="103">
        <f t="shared" ref="AF15:AF44" si="9">IF(OR(D15="ND",D15="ND12,5"),2-X15,0)</f>
        <v>0</v>
      </c>
      <c r="AG15" s="103">
        <f t="shared" ref="AG15:AG44" si="10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46359</v>
      </c>
      <c r="C16" s="82">
        <f t="shared" si="6"/>
        <v>46359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7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1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4"/>
        <v>0</v>
      </c>
      <c r="AD16" s="203">
        <f t="shared" si="5"/>
        <v>0</v>
      </c>
      <c r="AE16" s="203">
        <f t="shared" si="8"/>
        <v>0</v>
      </c>
      <c r="AF16" s="103">
        <f t="shared" si="9"/>
        <v>0</v>
      </c>
      <c r="AG16" s="103">
        <f t="shared" si="10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46360</v>
      </c>
      <c r="C17" s="82">
        <f t="shared" si="6"/>
        <v>46360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7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1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4"/>
        <v>0</v>
      </c>
      <c r="AD17" s="203">
        <f t="shared" si="5"/>
        <v>0</v>
      </c>
      <c r="AE17" s="203">
        <f t="shared" si="8"/>
        <v>0</v>
      </c>
      <c r="AF17" s="103">
        <f t="shared" si="9"/>
        <v>0</v>
      </c>
      <c r="AG17" s="103">
        <f t="shared" si="10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46361</v>
      </c>
      <c r="C18" s="82">
        <f t="shared" si="6"/>
        <v>46361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7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1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4"/>
        <v>0</v>
      </c>
      <c r="AD18" s="203">
        <f t="shared" si="5"/>
        <v>0</v>
      </c>
      <c r="AE18" s="203">
        <f t="shared" si="8"/>
        <v>0</v>
      </c>
      <c r="AF18" s="103">
        <f t="shared" si="9"/>
        <v>0</v>
      </c>
      <c r="AG18" s="103">
        <f t="shared" si="10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46362</v>
      </c>
      <c r="C19" s="82">
        <f t="shared" si="6"/>
        <v>46362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>
        <f t="shared" si="3"/>
        <v>0</v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7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1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4"/>
        <v>0</v>
      </c>
      <c r="AD19" s="203">
        <f t="shared" si="5"/>
        <v>0</v>
      </c>
      <c r="AE19" s="203">
        <f t="shared" si="8"/>
        <v>0</v>
      </c>
      <c r="AF19" s="103">
        <f t="shared" si="9"/>
        <v>0</v>
      </c>
      <c r="AG19" s="103">
        <f t="shared" si="10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46363</v>
      </c>
      <c r="C20" s="82">
        <f t="shared" si="6"/>
        <v>46363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7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1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4"/>
        <v>0</v>
      </c>
      <c r="AD20" s="203">
        <f t="shared" si="5"/>
        <v>0</v>
      </c>
      <c r="AE20" s="203">
        <f t="shared" si="8"/>
        <v>0</v>
      </c>
      <c r="AF20" s="103">
        <f t="shared" si="9"/>
        <v>0</v>
      </c>
      <c r="AG20" s="103">
        <f t="shared" si="10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>Ft</v>
      </c>
      <c r="B21" s="80">
        <f t="shared" si="0"/>
        <v>46364</v>
      </c>
      <c r="C21" s="82">
        <f t="shared" si="6"/>
        <v>46364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>
        <f t="shared" si="3"/>
        <v>0</v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7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1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4"/>
        <v>0</v>
      </c>
      <c r="AD21" s="203">
        <f t="shared" si="5"/>
        <v>0</v>
      </c>
      <c r="AE21" s="203">
        <f t="shared" si="8"/>
        <v>0</v>
      </c>
      <c r="AF21" s="103">
        <f t="shared" si="9"/>
        <v>0</v>
      </c>
      <c r="AG21" s="103">
        <f t="shared" si="10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46365</v>
      </c>
      <c r="C22" s="82">
        <f t="shared" si="6"/>
        <v>46365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7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1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4"/>
        <v>0</v>
      </c>
      <c r="AD22" s="203">
        <f t="shared" si="5"/>
        <v>0</v>
      </c>
      <c r="AE22" s="203">
        <f t="shared" si="8"/>
        <v>0</v>
      </c>
      <c r="AF22" s="103">
        <f t="shared" si="9"/>
        <v>0</v>
      </c>
      <c r="AG22" s="103">
        <f t="shared" si="10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46366</v>
      </c>
      <c r="C23" s="82">
        <f t="shared" si="6"/>
        <v>46366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7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1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4"/>
        <v>0</v>
      </c>
      <c r="AD23" s="203">
        <f t="shared" si="5"/>
        <v>0</v>
      </c>
      <c r="AE23" s="203">
        <f t="shared" si="8"/>
        <v>0</v>
      </c>
      <c r="AF23" s="103">
        <f t="shared" si="9"/>
        <v>0</v>
      </c>
      <c r="AG23" s="103">
        <f t="shared" si="10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46367</v>
      </c>
      <c r="C24" s="82">
        <f t="shared" si="6"/>
        <v>46367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7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1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4"/>
        <v>0</v>
      </c>
      <c r="AD24" s="203">
        <f t="shared" si="5"/>
        <v>0</v>
      </c>
      <c r="AE24" s="203">
        <f t="shared" si="8"/>
        <v>0</v>
      </c>
      <c r="AF24" s="103">
        <f t="shared" si="9"/>
        <v>0</v>
      </c>
      <c r="AG24" s="103">
        <f t="shared" si="10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46368</v>
      </c>
      <c r="C25" s="82">
        <f t="shared" si="6"/>
        <v>46368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7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1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4"/>
        <v>0</v>
      </c>
      <c r="AD25" s="203">
        <f t="shared" si="5"/>
        <v>0</v>
      </c>
      <c r="AE25" s="203">
        <f t="shared" si="8"/>
        <v>0</v>
      </c>
      <c r="AF25" s="103">
        <f t="shared" si="9"/>
        <v>0</v>
      </c>
      <c r="AG25" s="103">
        <f t="shared" si="10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46369</v>
      </c>
      <c r="C26" s="82">
        <f t="shared" si="6"/>
        <v>46369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>
        <f t="shared" si="3"/>
        <v>0</v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7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1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4"/>
        <v>0</v>
      </c>
      <c r="AD26" s="203">
        <f t="shared" si="5"/>
        <v>0</v>
      </c>
      <c r="AE26" s="203">
        <f t="shared" si="8"/>
        <v>0</v>
      </c>
      <c r="AF26" s="103">
        <f t="shared" si="9"/>
        <v>0</v>
      </c>
      <c r="AG26" s="103">
        <f t="shared" si="10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46370</v>
      </c>
      <c r="C27" s="82">
        <f t="shared" si="6"/>
        <v>46370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7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1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4"/>
        <v>0</v>
      </c>
      <c r="AD27" s="203">
        <f t="shared" si="5"/>
        <v>0</v>
      </c>
      <c r="AE27" s="203">
        <f t="shared" si="8"/>
        <v>0</v>
      </c>
      <c r="AF27" s="103">
        <f t="shared" si="9"/>
        <v>0</v>
      </c>
      <c r="AG27" s="103">
        <f t="shared" si="10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46371</v>
      </c>
      <c r="C28" s="82">
        <f t="shared" si="6"/>
        <v>46371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7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1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4"/>
        <v>0</v>
      </c>
      <c r="AD28" s="203">
        <f t="shared" si="5"/>
        <v>0</v>
      </c>
      <c r="AE28" s="203">
        <f t="shared" si="8"/>
        <v>0</v>
      </c>
      <c r="AF28" s="103">
        <f t="shared" si="9"/>
        <v>0</v>
      </c>
      <c r="AG28" s="103">
        <f t="shared" si="10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46372</v>
      </c>
      <c r="C29" s="82">
        <f t="shared" si="6"/>
        <v>46372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7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1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4"/>
        <v>0</v>
      </c>
      <c r="AD29" s="203">
        <f t="shared" si="5"/>
        <v>0</v>
      </c>
      <c r="AE29" s="203">
        <f t="shared" si="8"/>
        <v>0</v>
      </c>
      <c r="AF29" s="103">
        <f t="shared" si="9"/>
        <v>0</v>
      </c>
      <c r="AG29" s="103">
        <f t="shared" si="10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46373</v>
      </c>
      <c r="C30" s="82">
        <f t="shared" si="6"/>
        <v>46373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7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1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4"/>
        <v>0</v>
      </c>
      <c r="AD30" s="203">
        <f t="shared" si="5"/>
        <v>0</v>
      </c>
      <c r="AE30" s="203">
        <f t="shared" si="8"/>
        <v>0</v>
      </c>
      <c r="AF30" s="103">
        <f t="shared" si="9"/>
        <v>0</v>
      </c>
      <c r="AG30" s="103">
        <f t="shared" si="10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46374</v>
      </c>
      <c r="C31" s="82">
        <f t="shared" si="6"/>
        <v>46374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7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1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4"/>
        <v>0</v>
      </c>
      <c r="AD31" s="203">
        <f t="shared" si="5"/>
        <v>0</v>
      </c>
      <c r="AE31" s="203">
        <f t="shared" si="8"/>
        <v>0</v>
      </c>
      <c r="AF31" s="103">
        <f t="shared" si="9"/>
        <v>0</v>
      </c>
      <c r="AG31" s="103">
        <f t="shared" si="10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46375</v>
      </c>
      <c r="C32" s="82">
        <f t="shared" si="6"/>
        <v>46375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7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1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4"/>
        <v>0</v>
      </c>
      <c r="AD32" s="203">
        <f t="shared" si="5"/>
        <v>0</v>
      </c>
      <c r="AE32" s="203">
        <f t="shared" si="8"/>
        <v>0</v>
      </c>
      <c r="AF32" s="103">
        <f t="shared" si="9"/>
        <v>0</v>
      </c>
      <c r="AG32" s="103">
        <f t="shared" si="10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46376</v>
      </c>
      <c r="C33" s="82">
        <f t="shared" si="6"/>
        <v>46376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>
        <f t="shared" si="3"/>
        <v>0</v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7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1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4"/>
        <v>0</v>
      </c>
      <c r="AD33" s="203">
        <f t="shared" si="5"/>
        <v>0</v>
      </c>
      <c r="AE33" s="203">
        <f t="shared" si="8"/>
        <v>0</v>
      </c>
      <c r="AF33" s="103">
        <f t="shared" si="9"/>
        <v>0</v>
      </c>
      <c r="AG33" s="103">
        <f t="shared" si="10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46377</v>
      </c>
      <c r="C34" s="82">
        <f t="shared" si="6"/>
        <v>46377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7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1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4"/>
        <v>0</v>
      </c>
      <c r="AD34" s="203">
        <f t="shared" si="5"/>
        <v>0</v>
      </c>
      <c r="AE34" s="203">
        <f t="shared" si="8"/>
        <v>0</v>
      </c>
      <c r="AF34" s="103">
        <f t="shared" si="9"/>
        <v>0</v>
      </c>
      <c r="AG34" s="103">
        <f t="shared" si="10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46378</v>
      </c>
      <c r="C35" s="82">
        <f t="shared" si="6"/>
        <v>46378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7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1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4"/>
        <v>0</v>
      </c>
      <c r="AD35" s="203">
        <f t="shared" si="5"/>
        <v>0</v>
      </c>
      <c r="AE35" s="203">
        <f t="shared" si="8"/>
        <v>0</v>
      </c>
      <c r="AF35" s="103">
        <f t="shared" si="9"/>
        <v>0</v>
      </c>
      <c r="AG35" s="103">
        <f t="shared" si="10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46379</v>
      </c>
      <c r="C36" s="82">
        <f t="shared" si="6"/>
        <v>46379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7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1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4"/>
        <v>0</v>
      </c>
      <c r="AD36" s="203">
        <f t="shared" si="5"/>
        <v>0</v>
      </c>
      <c r="AE36" s="203">
        <f t="shared" si="8"/>
        <v>0</v>
      </c>
      <c r="AF36" s="103">
        <f t="shared" si="9"/>
        <v>0</v>
      </c>
      <c r="AG36" s="103">
        <f t="shared" si="10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46380</v>
      </c>
      <c r="C37" s="82">
        <f t="shared" si="6"/>
        <v>46380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7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1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4"/>
        <v>0</v>
      </c>
      <c r="AD37" s="203">
        <f t="shared" si="5"/>
        <v>0</v>
      </c>
      <c r="AE37" s="203">
        <f t="shared" si="8"/>
        <v>0</v>
      </c>
      <c r="AF37" s="103">
        <f t="shared" si="9"/>
        <v>0</v>
      </c>
      <c r="AG37" s="103">
        <f t="shared" si="10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>Ft</v>
      </c>
      <c r="B38" s="80">
        <f t="shared" si="0"/>
        <v>46381</v>
      </c>
      <c r="C38" s="82">
        <f t="shared" si="6"/>
        <v>46381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>
        <f t="shared" si="3"/>
        <v>0</v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7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1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4"/>
        <v>0</v>
      </c>
      <c r="AD38" s="203">
        <f t="shared" si="5"/>
        <v>0</v>
      </c>
      <c r="AE38" s="203">
        <f t="shared" si="8"/>
        <v>0</v>
      </c>
      <c r="AF38" s="103">
        <f t="shared" si="9"/>
        <v>0</v>
      </c>
      <c r="AG38" s="103">
        <f t="shared" si="10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>Ft</v>
      </c>
      <c r="B39" s="80">
        <f t="shared" si="0"/>
        <v>46382</v>
      </c>
      <c r="C39" s="82">
        <f t="shared" si="6"/>
        <v>46382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>
        <f t="shared" si="3"/>
        <v>0</v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7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1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4"/>
        <v>0</v>
      </c>
      <c r="AD39" s="203">
        <f t="shared" si="5"/>
        <v>0</v>
      </c>
      <c r="AE39" s="203">
        <f t="shared" si="8"/>
        <v>0</v>
      </c>
      <c r="AF39" s="103">
        <f t="shared" si="9"/>
        <v>0</v>
      </c>
      <c r="AG39" s="103">
        <f t="shared" si="10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46383</v>
      </c>
      <c r="C40" s="82">
        <f t="shared" si="6"/>
        <v>46383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>
        <f t="shared" si="3"/>
        <v>0</v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7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1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4"/>
        <v>0</v>
      </c>
      <c r="AD40" s="203">
        <f t="shared" si="5"/>
        <v>0</v>
      </c>
      <c r="AE40" s="203">
        <f t="shared" si="8"/>
        <v>0</v>
      </c>
      <c r="AF40" s="103">
        <f t="shared" si="9"/>
        <v>0</v>
      </c>
      <c r="AG40" s="103">
        <f t="shared" si="10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46384</v>
      </c>
      <c r="C41" s="82">
        <f t="shared" si="6"/>
        <v>46384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7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1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4"/>
        <v>0</v>
      </c>
      <c r="AD41" s="203">
        <f t="shared" si="5"/>
        <v>0</v>
      </c>
      <c r="AE41" s="203">
        <f t="shared" si="8"/>
        <v>0</v>
      </c>
      <c r="AF41" s="103">
        <f t="shared" si="9"/>
        <v>0</v>
      </c>
      <c r="AG41" s="103">
        <f t="shared" si="10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46385</v>
      </c>
      <c r="C42" s="82">
        <f>C41+1</f>
        <v>46385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7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1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4"/>
        <v>0</v>
      </c>
      <c r="AD42" s="203">
        <f t="shared" si="5"/>
        <v>0</v>
      </c>
      <c r="AE42" s="203">
        <f t="shared" si="8"/>
        <v>0</v>
      </c>
      <c r="AF42" s="103">
        <f t="shared" si="9"/>
        <v>0</v>
      </c>
      <c r="AG42" s="103">
        <f t="shared" si="10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46386</v>
      </c>
      <c r="C43" s="83">
        <f>C42+1</f>
        <v>46386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7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1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4"/>
        <v>0</v>
      </c>
      <c r="AD43" s="203">
        <f t="shared" si="5"/>
        <v>0</v>
      </c>
      <c r="AE43" s="203">
        <f t="shared" si="8"/>
        <v>0</v>
      </c>
      <c r="AF43" s="103">
        <f t="shared" si="9"/>
        <v>0</v>
      </c>
      <c r="AG43" s="103">
        <f t="shared" si="10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46387</v>
      </c>
      <c r="C44" s="150">
        <f>C43+1</f>
        <v>46387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7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1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4"/>
        <v>0</v>
      </c>
      <c r="AD44" s="203">
        <f t="shared" si="5"/>
        <v>0</v>
      </c>
      <c r="AE44" s="203">
        <f t="shared" si="8"/>
        <v>0</v>
      </c>
      <c r="AF44" s="103">
        <f t="shared" si="9"/>
        <v>0</v>
      </c>
      <c r="AG44" s="103">
        <f t="shared" si="10"/>
        <v>0</v>
      </c>
      <c r="AH44" s="103">
        <f>IF(E44="",0,VLOOKUP(E44,Datenblatt!$E$2:$G$28,3,FALSE))</f>
        <v>0</v>
      </c>
    </row>
    <row r="45" spans="1:34" ht="13" customHeight="1" thickBo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1">SUM(N14:N44)</f>
        <v>0</v>
      </c>
      <c r="O45" s="210">
        <f t="shared" si="11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94"/>
      <c r="L46" s="70"/>
      <c r="M46" s="74"/>
      <c r="N46" s="74"/>
      <c r="O46" s="75"/>
      <c r="P46" s="76"/>
      <c r="Q46" s="7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"&amp;Start!$B$15</f>
        <v>Verrechnung von Sonderzahlungen, Überstunden, Nachtgutstunden und Nachtdiensten erfolgt im Folgemonat Jänner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"&amp;Start!$B$26</f>
        <v>Monatsprofil Dezember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IF(OR(Start!$D$8=Gehalt!$K$37,Start!$D$8=Gehalt!$K$39,Start!$D$8=Gehalt!$K$41),Gehalt!$N$29,0)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("&amp;""&amp;Gehalt!$N$25&amp;""&amp;"€/h)"</f>
        <v>9545 Nachtdienstpauschale Gesamt (31,48€/h)</v>
      </c>
      <c r="H52" s="141"/>
      <c r="I52" s="141"/>
      <c r="J52" s="141"/>
      <c r="K52" s="245">
        <f>SUM($AF$14:$AG$44)</f>
        <v>0</v>
      </c>
      <c r="L52" s="215">
        <f>$K$52*Gehalt!$N$25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("&amp;""&amp;Gehalt!$N$26&amp;""&amp;"€/h)"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$K$53*Gehalt!$N$26</f>
        <v>0</v>
      </c>
      <c r="N53" s="538" t="s">
        <v>237</v>
      </c>
      <c r="O53" s="539"/>
      <c r="P53" s="318">
        <f>VLOOKUP($B$8,Datenblatt!$A$100:$I$112,3,FALSE)</f>
        <v>3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21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IF(November!$P$63-SUM(Start!$E$21:$E$26)*2&lt;=0,0,November!$P$63-SUM(Start!$E$21:$E$26)*2)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23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$K$57*Gehalt!$N$28</f>
        <v>0</v>
      </c>
      <c r="N57" s="538" t="s">
        <v>235</v>
      </c>
      <c r="O57" s="539"/>
      <c r="P57" s="318">
        <f>VLOOKUP($B$8,Datenblatt!$A$100:$I$112,6,FALSE)</f>
        <v>168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IF($J$58="ja",Gehalt!$N$27,0)</f>
        <v>0</v>
      </c>
      <c r="N58" s="546" t="str">
        <f>"Stundenkonto Monatsende"&amp;" "&amp;Start!$B$26</f>
        <v>Stundenkonto Monatsende Dezember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Start!$C$32+SUM(Jänner:Dezember!$D$51)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Start!$C$33+SUM(Jänner:Dezember!$D$52)+SUM(Jänner:Dezember!$E$52)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Start!$C$34+SUM(Jänner:Dezember!$D$53)+SUM(Jänner:Dezember!$E$53)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Start!$C$35+SUM(Jänner:Dezember!$D$54)+SUM(Jänner:Dezember!$E$54)-SUM(Jänner:Dezember!$K$56)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SUM(Jänner:Dezember!$D$51)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SUM(Jänner:Dezember!$D$52)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SUM(Jänner:Dezember!$D$53)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30" t="s">
        <v>165</v>
      </c>
      <c r="O69" s="531"/>
      <c r="P69" s="364">
        <f>SUM(Jänner:Dezember!$D$54)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624" t="s">
        <v>384</v>
      </c>
      <c r="O70" s="625"/>
      <c r="P70" s="414">
        <f>SUM(Jänner:Dezember!$B$56)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SUM(Jänner:Dezember!$B$57)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SUM(Jänner:Dezember!$B$58)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  <c r="N73" s="612" t="str">
        <f>"Brutto Jahresgehalt"&amp;" "&amp;Start!$D$2</f>
        <v>Brutto Jahresgehalt 2026</v>
      </c>
      <c r="O73" s="613"/>
      <c r="P73" s="614"/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168</v>
      </c>
      <c r="N74" s="615"/>
      <c r="O74" s="616"/>
      <c r="P74" s="617"/>
    </row>
    <row r="75" spans="3:16" s="56" customFormat="1" ht="13" customHeight="1">
      <c r="D75" s="130"/>
      <c r="N75" s="621">
        <f ca="1">SUM(Jänner:Dezember!$Q$8)</f>
        <v>76486.34</v>
      </c>
      <c r="O75" s="622"/>
      <c r="P75" s="623"/>
    </row>
    <row r="76" spans="3:16" s="56" customFormat="1" ht="13" customHeight="1">
      <c r="N76" s="612" t="str">
        <f>"Überstunden"&amp;" "&amp;Start!$D$2</f>
        <v>Überstunden 2026</v>
      </c>
      <c r="O76" s="613"/>
      <c r="P76" s="614"/>
    </row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  <c r="N77" s="615"/>
      <c r="O77" s="616"/>
      <c r="P77" s="61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  <c r="N78" s="626" t="s">
        <v>388</v>
      </c>
      <c r="O78" s="627"/>
      <c r="P78" s="412">
        <f>SUM(Jänner:Dezember!$L$62)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  <c r="N79" s="628" t="s">
        <v>389</v>
      </c>
      <c r="O79" s="629"/>
      <c r="P79" s="413">
        <f>SUM(Jänner:Dezember!$L$63)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  <c r="N80" s="411"/>
      <c r="O80" s="411"/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6TyMB624hqJI6rZF4Ly7klCONTANy4Z87XB4S4PaeuJEccnG9FdwpPl7TZP8uRWZb2/UXLXqemI+BQk/YmmhBg==" saltValue="bpsq27EE+wsufRxQO3BmKw==" spinCount="100000" sheet="1" selectLockedCells="1"/>
  <mergeCells count="68">
    <mergeCell ref="N76:P77"/>
    <mergeCell ref="N78:O78"/>
    <mergeCell ref="N79:O79"/>
    <mergeCell ref="N62:O62"/>
    <mergeCell ref="N63:O63"/>
    <mergeCell ref="N64:P65"/>
    <mergeCell ref="N66:O66"/>
    <mergeCell ref="N58:P59"/>
    <mergeCell ref="N52:O52"/>
    <mergeCell ref="N53:O53"/>
    <mergeCell ref="N54:O54"/>
    <mergeCell ref="N61:O61"/>
    <mergeCell ref="N60:O60"/>
    <mergeCell ref="N57:O57"/>
    <mergeCell ref="N55:O55"/>
    <mergeCell ref="N56:O56"/>
    <mergeCell ref="Q9:Q11"/>
    <mergeCell ref="N9:N11"/>
    <mergeCell ref="H9:I10"/>
    <mergeCell ref="J9:J11"/>
    <mergeCell ref="L47:O47"/>
    <mergeCell ref="K9:K11"/>
    <mergeCell ref="N13:O13"/>
    <mergeCell ref="O9:O11"/>
    <mergeCell ref="P9:P11"/>
    <mergeCell ref="AG10:AG11"/>
    <mergeCell ref="K5:M5"/>
    <mergeCell ref="K6:M6"/>
    <mergeCell ref="N6:P6"/>
    <mergeCell ref="N5:P5"/>
    <mergeCell ref="K8:M8"/>
    <mergeCell ref="N8:P8"/>
    <mergeCell ref="K7:M7"/>
    <mergeCell ref="N7:P7"/>
    <mergeCell ref="AA10:AE10"/>
    <mergeCell ref="AF10:AF11"/>
    <mergeCell ref="L9:L11"/>
    <mergeCell ref="M9:M11"/>
    <mergeCell ref="U10:Y10"/>
    <mergeCell ref="S9:S11"/>
    <mergeCell ref="R9:R11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E9:E11"/>
    <mergeCell ref="N73:P74"/>
    <mergeCell ref="N75:P75"/>
    <mergeCell ref="N70:O70"/>
    <mergeCell ref="N71:O71"/>
    <mergeCell ref="N72:O72"/>
    <mergeCell ref="C50:D50"/>
    <mergeCell ref="G54:I54"/>
    <mergeCell ref="N50:P51"/>
    <mergeCell ref="F9:G10"/>
    <mergeCell ref="L48:O48"/>
    <mergeCell ref="N69:O69"/>
    <mergeCell ref="N67:O67"/>
    <mergeCell ref="N68:O68"/>
  </mergeCells>
  <conditionalFormatting sqref="A13:A44">
    <cfRule type="cellIs" dxfId="141" priority="9" operator="equal">
      <formula>"HFT"</formula>
    </cfRule>
    <cfRule type="cellIs" dxfId="140" priority="10" operator="equal">
      <formula>"FT"</formula>
    </cfRule>
  </conditionalFormatting>
  <conditionalFormatting sqref="A45">
    <cfRule type="cellIs" dxfId="139" priority="262" operator="equal">
      <formula>"Ft"</formula>
    </cfRule>
  </conditionalFormatting>
  <conditionalFormatting sqref="B13:C44">
    <cfRule type="expression" dxfId="138" priority="263">
      <formula>WEEKDAY($C13,2)&gt;5</formula>
    </cfRule>
  </conditionalFormatting>
  <conditionalFormatting sqref="E8">
    <cfRule type="cellIs" dxfId="136" priority="45" operator="greaterThan">
      <formula>48</formula>
    </cfRule>
  </conditionalFormatting>
  <conditionalFormatting sqref="I47:K47">
    <cfRule type="cellIs" dxfId="135" priority="110" operator="equal">
      <formula>"Wochenarbeitszeit überschritten"</formula>
    </cfRule>
  </conditionalFormatting>
  <conditionalFormatting sqref="J45:P45">
    <cfRule type="cellIs" dxfId="134" priority="136" operator="equal">
      <formula>0</formula>
    </cfRule>
  </conditionalFormatting>
  <conditionalFormatting sqref="K8">
    <cfRule type="cellIs" dxfId="133" priority="184" operator="lessThan">
      <formula>$N$8</formula>
    </cfRule>
    <cfRule type="cellIs" dxfId="132" priority="183" operator="greaterThan">
      <formula>$N$8</formula>
    </cfRule>
    <cfRule type="cellIs" dxfId="131" priority="182" operator="equal">
      <formula>$N$8</formula>
    </cfRule>
  </conditionalFormatting>
  <conditionalFormatting sqref="K14:K44">
    <cfRule type="cellIs" dxfId="130" priority="33" operator="lessThanOrEqual">
      <formula>0</formula>
    </cfRule>
    <cfRule type="cellIs" dxfId="129" priority="34" operator="greaterThan">
      <formula>0</formula>
    </cfRule>
  </conditionalFormatting>
  <conditionalFormatting sqref="K45">
    <cfRule type="cellIs" dxfId="128" priority="187" operator="lessThan">
      <formula>0</formula>
    </cfRule>
  </conditionalFormatting>
  <conditionalFormatting sqref="N14:O44">
    <cfRule type="cellIs" dxfId="127" priority="12" operator="equal">
      <formula>0</formula>
    </cfRule>
  </conditionalFormatting>
  <conditionalFormatting sqref="P13:P44">
    <cfRule type="cellIs" dxfId="126" priority="3" operator="equal">
      <formula>0</formula>
    </cfRule>
  </conditionalFormatting>
  <conditionalFormatting sqref="P60:P63">
    <cfRule type="cellIs" dxfId="125" priority="60" operator="lessThan">
      <formula>0</formula>
    </cfRule>
  </conditionalFormatting>
  <conditionalFormatting sqref="P67">
    <cfRule type="cellIs" dxfId="124" priority="1" operator="greaterThan">
      <formula>160</formula>
    </cfRule>
  </conditionalFormatting>
  <conditionalFormatting sqref="Q47">
    <cfRule type="cellIs" dxfId="123" priority="49" operator="equal">
      <formula>0</formula>
    </cfRule>
  </conditionalFormatting>
  <conditionalFormatting sqref="T14:T44">
    <cfRule type="cellIs" dxfId="122" priority="243" operator="equal">
      <formula>0</formula>
    </cfRule>
  </conditionalFormatting>
  <conditionalFormatting sqref="T45:W45">
    <cfRule type="cellIs" dxfId="121" priority="130" operator="equal">
      <formula>0</formula>
    </cfRule>
  </conditionalFormatting>
  <conditionalFormatting sqref="T51:W51">
    <cfRule type="cellIs" dxfId="120" priority="26" operator="equal">
      <formula>0</formula>
    </cfRule>
  </conditionalFormatting>
  <conditionalFormatting sqref="U15:W44">
    <cfRule type="cellIs" dxfId="119" priority="217" operator="equal">
      <formula>0</formula>
    </cfRule>
  </conditionalFormatting>
  <conditionalFormatting sqref="U51:Y53">
    <cfRule type="cellIs" dxfId="118" priority="16" operator="equal">
      <formula>0</formula>
    </cfRule>
  </conditionalFormatting>
  <conditionalFormatting sqref="V14">
    <cfRule type="cellIs" dxfId="117" priority="244" operator="equal">
      <formula>0</formula>
    </cfRule>
  </conditionalFormatting>
  <conditionalFormatting sqref="V13:W13">
    <cfRule type="cellIs" dxfId="116" priority="145" operator="equal">
      <formula>0</formula>
    </cfRule>
  </conditionalFormatting>
  <conditionalFormatting sqref="W52">
    <cfRule type="cellIs" dxfId="115" priority="20" operator="equal">
      <formula>0</formula>
    </cfRule>
  </conditionalFormatting>
  <conditionalFormatting sqref="X13:Y45">
    <cfRule type="cellIs" dxfId="114" priority="61" operator="equal">
      <formula>0</formula>
    </cfRule>
  </conditionalFormatting>
  <conditionalFormatting sqref="Z13:Z44">
    <cfRule type="cellIs" dxfId="113" priority="146" operator="equal">
      <formula>0</formula>
    </cfRule>
  </conditionalFormatting>
  <conditionalFormatting sqref="Z51:AC51">
    <cfRule type="cellIs" dxfId="112" priority="24" operator="equal">
      <formula>0</formula>
    </cfRule>
  </conditionalFormatting>
  <conditionalFormatting sqref="Z45:AD45">
    <cfRule type="cellIs" dxfId="111" priority="128" operator="equal">
      <formula>0</formula>
    </cfRule>
  </conditionalFormatting>
  <conditionalFormatting sqref="AA14:AB44">
    <cfRule type="cellIs" dxfId="110" priority="35" operator="equal">
      <formula>0</formula>
    </cfRule>
  </conditionalFormatting>
  <conditionalFormatting sqref="AA51:AE52">
    <cfRule type="cellIs" dxfId="109" priority="6" operator="equal">
      <formula>0</formula>
    </cfRule>
  </conditionalFormatting>
  <conditionalFormatting sqref="AC13:AD44">
    <cfRule type="cellIs" dxfId="108" priority="140" operator="equal">
      <formula>0</formula>
    </cfRule>
  </conditionalFormatting>
  <conditionalFormatting sqref="AE13:AE45">
    <cfRule type="cellIs" dxfId="107" priority="2" operator="equal">
      <formula>0</formula>
    </cfRule>
  </conditionalFormatting>
  <conditionalFormatting sqref="AF13:AG44">
    <cfRule type="cellIs" dxfId="106" priority="75" operator="equal">
      <formula>0</formula>
    </cfRule>
  </conditionalFormatting>
  <conditionalFormatting sqref="AG51:AH51">
    <cfRule type="cellIs" dxfId="105" priority="15" operator="equal">
      <formula>0</formula>
    </cfRule>
  </conditionalFormatting>
  <conditionalFormatting sqref="AH14:AH44">
    <cfRule type="cellIs" dxfId="104" priority="29" operator="equal">
      <formula>0</formula>
    </cfRule>
  </conditionalFormatting>
  <conditionalFormatting sqref="AH51:AH52">
    <cfRule type="cellIs" dxfId="103" priority="13" operator="equal">
      <formula>0</formula>
    </cfRule>
  </conditionalFormatting>
  <dataValidations count="4">
    <dataValidation type="list" allowBlank="1" showInputMessage="1" showErrorMessage="1" sqref="J14:J44" xr:uid="{7B1F7A5D-988E-4497-85A2-9CEF2B3BAEB5}">
      <formula1>AbwesenheitenStunden</formula1>
    </dataValidation>
    <dataValidation type="list" allowBlank="1" showInputMessage="1" showErrorMessage="1" error="Die Eingabe ist unzulässig_x000a_Bitte Drop Down Felder verwenden" sqref="F14:G44" xr:uid="{B57FD5AF-0117-43ED-AC33-0D3CEB894878}">
      <formula1>Zeiten1</formula1>
    </dataValidation>
    <dataValidation type="decimal" allowBlank="1" showInputMessage="1" showErrorMessage="1" error="Die ausgewählte Stundenanzahl steht nicht zur Verfügung!" sqref="J54" xr:uid="{7EC669FA-AB3A-4EF9-B918-1132E2E31D61}">
      <formula1>0</formula1>
      <formula2>K54</formula2>
    </dataValidation>
    <dataValidation type="list" allowBlank="1" showInputMessage="1" showErrorMessage="1" sqref="H14:I44" xr:uid="{21ADB87F-484C-4CC1-950F-9BBBAF6DF7AA}">
      <formula1>Zeiten2</formula1>
    </dataValidation>
  </dataValidations>
  <pageMargins left="3.937007874015748E-2" right="3.937007874015748E-2" top="0.19685039370078741" bottom="0.15748031496062992" header="0" footer="0"/>
  <pageSetup paperSize="9" orientation="landscape" horizontalDpi="4294967293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5" id="{67F4B996-8C3B-4E8B-A9CC-E8C9D6A628EB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E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D20A9B62-3BC6-4DFE-8813-17B62431FEDC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545734EE-7EFA-4744-8263-FCCBCE88115C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25D79CFD-50A2-4963-91D6-E4E6121E7A25}">
          <x14:formula1>
            <xm:f>Datenblatt!$D$58:$D$59</xm:f>
          </x14:formula1>
          <xm:sqref>P47 J58</xm:sqref>
        </x14:dataValidation>
        <x14:dataValidation type="list" allowBlank="1" showInputMessage="1" showErrorMessage="1" xr:uid="{F53DB525-E6A2-4393-A4E0-64E5E5588AAB}">
          <x14:formula1>
            <xm:f>Datenblatt!$D$52:$D$53</xm:f>
          </x14:formula1>
          <xm:sqref>P48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59999389629810485"/>
  </sheetPr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13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/>
    <row r="2" spans="1:34" ht="8" customHeight="1" thickBot="1"/>
    <row r="3" spans="1:34" s="55" customFormat="1" ht="17" customHeight="1">
      <c r="A3" s="417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4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IF(SUM(N14:O44,L13:L44,AA51:AD51,AA52:AB52)=0,Datenblatt!J112,SUM(N14:O44,L13:L44,AA51:AD51,AA52:AB52,AH51:AH52))</f>
        <v>201.60000000000002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130"/>
      <c r="B8" s="630">
        <f>DATE($D$8,1,1)</f>
        <v>46388</v>
      </c>
      <c r="C8" s="631"/>
      <c r="D8" s="489">
        <f>Start!$D$2+1</f>
        <v>2027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152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18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5"/>
      <c r="Z12" s="224"/>
      <c r="AA12" s="224"/>
      <c r="AB12" s="224"/>
      <c r="AH12" s="278"/>
    </row>
    <row r="13" spans="1:34" ht="13" customHeight="1">
      <c r="A13" s="84" t="str">
        <f>IF(ISERROR(VLOOKUP(C13,Datenblatt!$C$84:$C$97,1,FALSE)),"","Ft")</f>
        <v/>
      </c>
      <c r="B13" s="363">
        <f t="shared" ref="B13:B44" si="0">C13</f>
        <v>46387</v>
      </c>
      <c r="C13" s="138">
        <f>C14-1</f>
        <v>46387</v>
      </c>
      <c r="D13" s="143" t="str">
        <f>IF(Dezember!D$44="","",Dezember!D$44)</f>
        <v/>
      </c>
      <c r="E13" s="140" t="str">
        <f>IF(Dezember!E$44="","",Dezember!E$44)</f>
        <v/>
      </c>
      <c r="F13" s="135"/>
      <c r="G13" s="135"/>
      <c r="H13" s="135"/>
      <c r="I13" s="135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246"/>
      <c r="R13" s="136"/>
      <c r="S13" s="137"/>
      <c r="T13" s="194"/>
      <c r="U13" s="195"/>
      <c r="V13" s="196"/>
      <c r="W13" s="196"/>
      <c r="X13" s="241"/>
      <c r="Y13" s="241"/>
      <c r="Z13" s="102" t="str">
        <f t="shared" ref="Z13:Z44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IF(ISERROR(VLOOKUP(C14,Datenblatt!$C$84:$C$97,1,FALSE)),"","Ft")</f>
        <v>Ft</v>
      </c>
      <c r="B14" s="80">
        <f t="shared" si="0"/>
        <v>46388</v>
      </c>
      <c r="C14" s="81">
        <f>DATE($D$8,MONTH(B$8),1)</f>
        <v>46388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 t="shared" ref="T14:T44" si="4">IF(K14="",0,K14)</f>
        <v>0</v>
      </c>
      <c r="U14" s="105"/>
      <c r="V14" s="103"/>
      <c r="W14" s="103"/>
      <c r="X14" s="242"/>
      <c r="Y14" s="242"/>
      <c r="Z14" s="102" t="str">
        <f t="shared" si="1"/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IF(ISERROR(VLOOKUP(C15,Datenblatt!$C$84:$C$97,1,FALSE)),"","Ft")</f>
        <v/>
      </c>
      <c r="B15" s="80">
        <f t="shared" si="0"/>
        <v>46389</v>
      </c>
      <c r="C15" s="82">
        <f t="shared" ref="C15:C41" si="5">C14+1</f>
        <v>46389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si="4"/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si="1"/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6">IF(OR(E15="ND",E15="ND12,5"),2,0)</f>
        <v>0</v>
      </c>
      <c r="AD15" s="203">
        <f t="shared" ref="AD15:AD44" si="7">IF(OR(E14="ND",E14="ND12,5"),6,0)</f>
        <v>0</v>
      </c>
      <c r="AE15" s="203">
        <f t="shared" ref="AE15:AE44" si="8">IF(AND(E14="ND",AA15&gt;=2),1,IF(AND(E14="ND12,5",AA15&gt;=2),0.5,0))</f>
        <v>0</v>
      </c>
      <c r="AF15" s="103">
        <f t="shared" ref="AF15:AF44" si="9">IF(OR(D15="ND",D15="ND12,5"),2-X15,0)</f>
        <v>0</v>
      </c>
      <c r="AG15" s="103">
        <f t="shared" ref="AG15:AG44" si="10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IF(ISERROR(VLOOKUP(C16,Datenblatt!$C$84:$C$97,1,FALSE)),"","Ft")</f>
        <v/>
      </c>
      <c r="B16" s="80">
        <f t="shared" si="0"/>
        <v>46390</v>
      </c>
      <c r="C16" s="82">
        <f t="shared" si="5"/>
        <v>46390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>
        <f t="shared" si="3"/>
        <v>0</v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4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1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6"/>
        <v>0</v>
      </c>
      <c r="AD16" s="203">
        <f t="shared" si="7"/>
        <v>0</v>
      </c>
      <c r="AE16" s="203">
        <f t="shared" si="8"/>
        <v>0</v>
      </c>
      <c r="AF16" s="103">
        <f t="shared" si="9"/>
        <v>0</v>
      </c>
      <c r="AG16" s="103">
        <f t="shared" si="10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IF(ISERROR(VLOOKUP(C17,Datenblatt!$C$84:$C$97,1,FALSE)),"","Ft")</f>
        <v/>
      </c>
      <c r="B17" s="80">
        <f t="shared" si="0"/>
        <v>46391</v>
      </c>
      <c r="C17" s="82">
        <f t="shared" si="5"/>
        <v>46391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4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1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6"/>
        <v>0</v>
      </c>
      <c r="AD17" s="203">
        <f t="shared" si="7"/>
        <v>0</v>
      </c>
      <c r="AE17" s="203">
        <f t="shared" si="8"/>
        <v>0</v>
      </c>
      <c r="AF17" s="103">
        <f t="shared" si="9"/>
        <v>0</v>
      </c>
      <c r="AG17" s="103">
        <f t="shared" si="10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IF(ISERROR(VLOOKUP(C18,Datenblatt!$C$84:$C$97,1,FALSE)),"","Ft")</f>
        <v/>
      </c>
      <c r="B18" s="80">
        <f t="shared" si="0"/>
        <v>46392</v>
      </c>
      <c r="C18" s="82">
        <f t="shared" si="5"/>
        <v>46392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4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1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6"/>
        <v>0</v>
      </c>
      <c r="AD18" s="203">
        <f t="shared" si="7"/>
        <v>0</v>
      </c>
      <c r="AE18" s="203">
        <f t="shared" si="8"/>
        <v>0</v>
      </c>
      <c r="AF18" s="103">
        <f t="shared" si="9"/>
        <v>0</v>
      </c>
      <c r="AG18" s="103">
        <f t="shared" si="10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IF(ISERROR(VLOOKUP(C19,Datenblatt!$C$84:$C$97,1,FALSE)),"","Ft")</f>
        <v>Ft</v>
      </c>
      <c r="B19" s="80">
        <f t="shared" si="0"/>
        <v>46393</v>
      </c>
      <c r="C19" s="82">
        <f t="shared" si="5"/>
        <v>46393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>
        <f t="shared" si="3"/>
        <v>0</v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4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1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6"/>
        <v>0</v>
      </c>
      <c r="AD19" s="203">
        <f t="shared" si="7"/>
        <v>0</v>
      </c>
      <c r="AE19" s="203">
        <f t="shared" si="8"/>
        <v>0</v>
      </c>
      <c r="AF19" s="103">
        <f t="shared" si="9"/>
        <v>0</v>
      </c>
      <c r="AG19" s="103">
        <f t="shared" si="10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IF(ISERROR(VLOOKUP(C20,Datenblatt!$C$84:$C$97,1,FALSE)),"","Ft")</f>
        <v/>
      </c>
      <c r="B20" s="80">
        <f t="shared" si="0"/>
        <v>46394</v>
      </c>
      <c r="C20" s="82">
        <f t="shared" si="5"/>
        <v>46394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4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1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6"/>
        <v>0</v>
      </c>
      <c r="AD20" s="203">
        <f t="shared" si="7"/>
        <v>0</v>
      </c>
      <c r="AE20" s="203">
        <f t="shared" si="8"/>
        <v>0</v>
      </c>
      <c r="AF20" s="103">
        <f t="shared" si="9"/>
        <v>0</v>
      </c>
      <c r="AG20" s="103">
        <f t="shared" si="10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IF(ISERROR(VLOOKUP(C21,Datenblatt!$C$84:$C$97,1,FALSE)),"","Ft")</f>
        <v/>
      </c>
      <c r="B21" s="80">
        <f t="shared" si="0"/>
        <v>46395</v>
      </c>
      <c r="C21" s="82">
        <f t="shared" si="5"/>
        <v>46395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4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1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6"/>
        <v>0</v>
      </c>
      <c r="AD21" s="203">
        <f t="shared" si="7"/>
        <v>0</v>
      </c>
      <c r="AE21" s="203">
        <f t="shared" si="8"/>
        <v>0</v>
      </c>
      <c r="AF21" s="103">
        <f t="shared" si="9"/>
        <v>0</v>
      </c>
      <c r="AG21" s="103">
        <f t="shared" si="10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IF(ISERROR(VLOOKUP(C22,Datenblatt!$C$84:$C$97,1,FALSE)),"","Ft")</f>
        <v/>
      </c>
      <c r="B22" s="80">
        <f t="shared" si="0"/>
        <v>46396</v>
      </c>
      <c r="C22" s="82">
        <f t="shared" si="5"/>
        <v>46396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4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1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6"/>
        <v>0</v>
      </c>
      <c r="AD22" s="203">
        <f t="shared" si="7"/>
        <v>0</v>
      </c>
      <c r="AE22" s="203">
        <f t="shared" si="8"/>
        <v>0</v>
      </c>
      <c r="AF22" s="103">
        <f t="shared" si="9"/>
        <v>0</v>
      </c>
      <c r="AG22" s="103">
        <f t="shared" si="10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IF(ISERROR(VLOOKUP(C23,Datenblatt!$C$84:$C$97,1,FALSE)),"","Ft")</f>
        <v/>
      </c>
      <c r="B23" s="80">
        <f t="shared" si="0"/>
        <v>46397</v>
      </c>
      <c r="C23" s="82">
        <f t="shared" si="5"/>
        <v>46397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>
        <f t="shared" si="3"/>
        <v>0</v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4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1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6"/>
        <v>0</v>
      </c>
      <c r="AD23" s="203">
        <f t="shared" si="7"/>
        <v>0</v>
      </c>
      <c r="AE23" s="203">
        <f t="shared" si="8"/>
        <v>0</v>
      </c>
      <c r="AF23" s="103">
        <f t="shared" si="9"/>
        <v>0</v>
      </c>
      <c r="AG23" s="103">
        <f t="shared" si="10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IF(ISERROR(VLOOKUP(C24,Datenblatt!$C$84:$C$97,1,FALSE)),"","Ft")</f>
        <v/>
      </c>
      <c r="B24" s="80">
        <f t="shared" si="0"/>
        <v>46398</v>
      </c>
      <c r="C24" s="82">
        <f t="shared" si="5"/>
        <v>46398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4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1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6"/>
        <v>0</v>
      </c>
      <c r="AD24" s="203">
        <f t="shared" si="7"/>
        <v>0</v>
      </c>
      <c r="AE24" s="203">
        <f t="shared" si="8"/>
        <v>0</v>
      </c>
      <c r="AF24" s="103">
        <f t="shared" si="9"/>
        <v>0</v>
      </c>
      <c r="AG24" s="103">
        <f t="shared" si="10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IF(ISERROR(VLOOKUP(C25,Datenblatt!$C$84:$C$97,1,FALSE)),"","Ft")</f>
        <v/>
      </c>
      <c r="B25" s="80">
        <f t="shared" si="0"/>
        <v>46399</v>
      </c>
      <c r="C25" s="82">
        <f t="shared" si="5"/>
        <v>46399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4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1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6"/>
        <v>0</v>
      </c>
      <c r="AD25" s="203">
        <f t="shared" si="7"/>
        <v>0</v>
      </c>
      <c r="AE25" s="203">
        <f t="shared" si="8"/>
        <v>0</v>
      </c>
      <c r="AF25" s="103">
        <f t="shared" si="9"/>
        <v>0</v>
      </c>
      <c r="AG25" s="103">
        <f t="shared" si="10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IF(ISERROR(VLOOKUP(C26,Datenblatt!$C$84:$C$97,1,FALSE)),"","Ft")</f>
        <v/>
      </c>
      <c r="B26" s="80">
        <f t="shared" si="0"/>
        <v>46400</v>
      </c>
      <c r="C26" s="82">
        <f t="shared" si="5"/>
        <v>46400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4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1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6"/>
        <v>0</v>
      </c>
      <c r="AD26" s="203">
        <f t="shared" si="7"/>
        <v>0</v>
      </c>
      <c r="AE26" s="203">
        <f t="shared" si="8"/>
        <v>0</v>
      </c>
      <c r="AF26" s="103">
        <f t="shared" si="9"/>
        <v>0</v>
      </c>
      <c r="AG26" s="103">
        <f t="shared" si="10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IF(ISERROR(VLOOKUP(C27,Datenblatt!$C$84:$C$97,1,FALSE)),"","Ft")</f>
        <v/>
      </c>
      <c r="B27" s="80">
        <f t="shared" si="0"/>
        <v>46401</v>
      </c>
      <c r="C27" s="82">
        <f t="shared" si="5"/>
        <v>46401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4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1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6"/>
        <v>0</v>
      </c>
      <c r="AD27" s="203">
        <f t="shared" si="7"/>
        <v>0</v>
      </c>
      <c r="AE27" s="203">
        <f t="shared" si="8"/>
        <v>0</v>
      </c>
      <c r="AF27" s="103">
        <f t="shared" si="9"/>
        <v>0</v>
      </c>
      <c r="AG27" s="103">
        <f t="shared" si="10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IF(ISERROR(VLOOKUP(C28,Datenblatt!$C$84:$C$97,1,FALSE)),"","Ft")</f>
        <v/>
      </c>
      <c r="B28" s="80">
        <f t="shared" si="0"/>
        <v>46402</v>
      </c>
      <c r="C28" s="82">
        <f t="shared" si="5"/>
        <v>46402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4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1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6"/>
        <v>0</v>
      </c>
      <c r="AD28" s="203">
        <f t="shared" si="7"/>
        <v>0</v>
      </c>
      <c r="AE28" s="203">
        <f t="shared" si="8"/>
        <v>0</v>
      </c>
      <c r="AF28" s="103">
        <f t="shared" si="9"/>
        <v>0</v>
      </c>
      <c r="AG28" s="103">
        <f t="shared" si="10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IF(ISERROR(VLOOKUP(C29,Datenblatt!$C$84:$C$97,1,FALSE)),"","Ft")</f>
        <v/>
      </c>
      <c r="B29" s="80">
        <f t="shared" si="0"/>
        <v>46403</v>
      </c>
      <c r="C29" s="82">
        <f t="shared" si="5"/>
        <v>46403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4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1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6"/>
        <v>0</v>
      </c>
      <c r="AD29" s="203">
        <f t="shared" si="7"/>
        <v>0</v>
      </c>
      <c r="AE29" s="203">
        <f t="shared" si="8"/>
        <v>0</v>
      </c>
      <c r="AF29" s="103">
        <f t="shared" si="9"/>
        <v>0</v>
      </c>
      <c r="AG29" s="103">
        <f t="shared" si="10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IF(ISERROR(VLOOKUP(C30,Datenblatt!$C$84:$C$97,1,FALSE)),"","Ft")</f>
        <v/>
      </c>
      <c r="B30" s="80">
        <f t="shared" si="0"/>
        <v>46404</v>
      </c>
      <c r="C30" s="82">
        <f t="shared" si="5"/>
        <v>46404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>
        <f t="shared" si="3"/>
        <v>0</v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4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1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6"/>
        <v>0</v>
      </c>
      <c r="AD30" s="203">
        <f t="shared" si="7"/>
        <v>0</v>
      </c>
      <c r="AE30" s="203">
        <f t="shared" si="8"/>
        <v>0</v>
      </c>
      <c r="AF30" s="103">
        <f t="shared" si="9"/>
        <v>0</v>
      </c>
      <c r="AG30" s="103">
        <f t="shared" si="10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IF(ISERROR(VLOOKUP(C31,Datenblatt!$C$84:$C$97,1,FALSE)),"","Ft")</f>
        <v/>
      </c>
      <c r="B31" s="80">
        <f t="shared" si="0"/>
        <v>46405</v>
      </c>
      <c r="C31" s="82">
        <f t="shared" si="5"/>
        <v>46405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4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1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6"/>
        <v>0</v>
      </c>
      <c r="AD31" s="203">
        <f t="shared" si="7"/>
        <v>0</v>
      </c>
      <c r="AE31" s="203">
        <f t="shared" si="8"/>
        <v>0</v>
      </c>
      <c r="AF31" s="103">
        <f t="shared" si="9"/>
        <v>0</v>
      </c>
      <c r="AG31" s="103">
        <f t="shared" si="10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IF(ISERROR(VLOOKUP(C32,Datenblatt!$C$84:$C$97,1,FALSE)),"","Ft")</f>
        <v/>
      </c>
      <c r="B32" s="80">
        <f t="shared" si="0"/>
        <v>46406</v>
      </c>
      <c r="C32" s="82">
        <f t="shared" si="5"/>
        <v>46406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4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1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6"/>
        <v>0</v>
      </c>
      <c r="AD32" s="203">
        <f t="shared" si="7"/>
        <v>0</v>
      </c>
      <c r="AE32" s="203">
        <f t="shared" si="8"/>
        <v>0</v>
      </c>
      <c r="AF32" s="103">
        <f t="shared" si="9"/>
        <v>0</v>
      </c>
      <c r="AG32" s="103">
        <f t="shared" si="10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IF(ISERROR(VLOOKUP(C33,Datenblatt!$C$84:$C$97,1,FALSE)),"","Ft")</f>
        <v/>
      </c>
      <c r="B33" s="80">
        <f t="shared" si="0"/>
        <v>46407</v>
      </c>
      <c r="C33" s="82">
        <f t="shared" si="5"/>
        <v>46407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4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1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6"/>
        <v>0</v>
      </c>
      <c r="AD33" s="203">
        <f t="shared" si="7"/>
        <v>0</v>
      </c>
      <c r="AE33" s="203">
        <f t="shared" si="8"/>
        <v>0</v>
      </c>
      <c r="AF33" s="103">
        <f t="shared" si="9"/>
        <v>0</v>
      </c>
      <c r="AG33" s="103">
        <f t="shared" si="10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IF(ISERROR(VLOOKUP(C34,Datenblatt!$C$84:$C$97,1,FALSE)),"","Ft")</f>
        <v/>
      </c>
      <c r="B34" s="80">
        <f t="shared" si="0"/>
        <v>46408</v>
      </c>
      <c r="C34" s="82">
        <f t="shared" si="5"/>
        <v>46408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4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1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6"/>
        <v>0</v>
      </c>
      <c r="AD34" s="203">
        <f t="shared" si="7"/>
        <v>0</v>
      </c>
      <c r="AE34" s="203">
        <f t="shared" si="8"/>
        <v>0</v>
      </c>
      <c r="AF34" s="103">
        <f t="shared" si="9"/>
        <v>0</v>
      </c>
      <c r="AG34" s="103">
        <f t="shared" si="10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IF(ISERROR(VLOOKUP(C35,Datenblatt!$C$84:$C$97,1,FALSE)),"","Ft")</f>
        <v/>
      </c>
      <c r="B35" s="80">
        <f t="shared" si="0"/>
        <v>46409</v>
      </c>
      <c r="C35" s="82">
        <f t="shared" si="5"/>
        <v>46409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4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1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6"/>
        <v>0</v>
      </c>
      <c r="AD35" s="203">
        <f t="shared" si="7"/>
        <v>0</v>
      </c>
      <c r="AE35" s="203">
        <f t="shared" si="8"/>
        <v>0</v>
      </c>
      <c r="AF35" s="103">
        <f t="shared" si="9"/>
        <v>0</v>
      </c>
      <c r="AG35" s="103">
        <f t="shared" si="10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IF(ISERROR(VLOOKUP(C36,Datenblatt!$C$84:$C$97,1,FALSE)),"","Ft")</f>
        <v/>
      </c>
      <c r="B36" s="80">
        <f t="shared" si="0"/>
        <v>46410</v>
      </c>
      <c r="C36" s="82">
        <f t="shared" si="5"/>
        <v>46410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4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1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6"/>
        <v>0</v>
      </c>
      <c r="AD36" s="203">
        <f t="shared" si="7"/>
        <v>0</v>
      </c>
      <c r="AE36" s="203">
        <f t="shared" si="8"/>
        <v>0</v>
      </c>
      <c r="AF36" s="103">
        <f t="shared" si="9"/>
        <v>0</v>
      </c>
      <c r="AG36" s="103">
        <f t="shared" si="10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IF(ISERROR(VLOOKUP(C37,Datenblatt!$C$84:$C$97,1,FALSE)),"","Ft")</f>
        <v/>
      </c>
      <c r="B37" s="80">
        <f t="shared" si="0"/>
        <v>46411</v>
      </c>
      <c r="C37" s="82">
        <f t="shared" si="5"/>
        <v>46411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>
        <f t="shared" si="3"/>
        <v>0</v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4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1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6"/>
        <v>0</v>
      </c>
      <c r="AD37" s="203">
        <f t="shared" si="7"/>
        <v>0</v>
      </c>
      <c r="AE37" s="203">
        <f t="shared" si="8"/>
        <v>0</v>
      </c>
      <c r="AF37" s="103">
        <f t="shared" si="9"/>
        <v>0</v>
      </c>
      <c r="AG37" s="103">
        <f t="shared" si="10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IF(ISERROR(VLOOKUP(C38,Datenblatt!$C$84:$C$97,1,FALSE)),"","Ft")</f>
        <v/>
      </c>
      <c r="B38" s="80">
        <f t="shared" si="0"/>
        <v>46412</v>
      </c>
      <c r="C38" s="82">
        <f t="shared" si="5"/>
        <v>46412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4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1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6"/>
        <v>0</v>
      </c>
      <c r="AD38" s="203">
        <f t="shared" si="7"/>
        <v>0</v>
      </c>
      <c r="AE38" s="203">
        <f t="shared" si="8"/>
        <v>0</v>
      </c>
      <c r="AF38" s="103">
        <f t="shared" si="9"/>
        <v>0</v>
      </c>
      <c r="AG38" s="103">
        <f t="shared" si="10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IF(ISERROR(VLOOKUP(C39,Datenblatt!$C$84:$C$97,1,FALSE)),"","Ft")</f>
        <v/>
      </c>
      <c r="B39" s="80">
        <f t="shared" si="0"/>
        <v>46413</v>
      </c>
      <c r="C39" s="82">
        <f t="shared" si="5"/>
        <v>46413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4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1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6"/>
        <v>0</v>
      </c>
      <c r="AD39" s="203">
        <f t="shared" si="7"/>
        <v>0</v>
      </c>
      <c r="AE39" s="203">
        <f t="shared" si="8"/>
        <v>0</v>
      </c>
      <c r="AF39" s="103">
        <f t="shared" si="9"/>
        <v>0</v>
      </c>
      <c r="AG39" s="103">
        <f t="shared" si="10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IF(ISERROR(VLOOKUP(C40,Datenblatt!$C$84:$C$97,1,FALSE)),"","Ft")</f>
        <v/>
      </c>
      <c r="B40" s="80">
        <f t="shared" si="0"/>
        <v>46414</v>
      </c>
      <c r="C40" s="82">
        <f t="shared" si="5"/>
        <v>46414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4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1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6"/>
        <v>0</v>
      </c>
      <c r="AD40" s="203">
        <f t="shared" si="7"/>
        <v>0</v>
      </c>
      <c r="AE40" s="203">
        <f t="shared" si="8"/>
        <v>0</v>
      </c>
      <c r="AF40" s="103">
        <f t="shared" si="9"/>
        <v>0</v>
      </c>
      <c r="AG40" s="103">
        <f t="shared" si="10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IF(ISERROR(VLOOKUP(C41,Datenblatt!$C$84:$C$97,1,FALSE)),"","Ft")</f>
        <v/>
      </c>
      <c r="B41" s="80">
        <f t="shared" si="0"/>
        <v>46415</v>
      </c>
      <c r="C41" s="82">
        <f t="shared" si="5"/>
        <v>46415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4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1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6"/>
        <v>0</v>
      </c>
      <c r="AD41" s="203">
        <f t="shared" si="7"/>
        <v>0</v>
      </c>
      <c r="AE41" s="203">
        <f t="shared" si="8"/>
        <v>0</v>
      </c>
      <c r="AF41" s="103">
        <f t="shared" si="9"/>
        <v>0</v>
      </c>
      <c r="AG41" s="103">
        <f t="shared" si="10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IF(ISERROR(VLOOKUP(C42,Datenblatt!$C$84:$C$97,1,FALSE)),"","Ft")</f>
        <v/>
      </c>
      <c r="B42" s="80">
        <f t="shared" si="0"/>
        <v>46416</v>
      </c>
      <c r="C42" s="82">
        <f>C41+1</f>
        <v>46416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4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1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6"/>
        <v>0</v>
      </c>
      <c r="AD42" s="203">
        <f t="shared" si="7"/>
        <v>0</v>
      </c>
      <c r="AE42" s="203">
        <f t="shared" si="8"/>
        <v>0</v>
      </c>
      <c r="AF42" s="103">
        <f t="shared" si="9"/>
        <v>0</v>
      </c>
      <c r="AG42" s="103">
        <f t="shared" si="10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IF(ISERROR(VLOOKUP(C43,Datenblatt!$C$84:$C$97,1,FALSE)),"","Ft")</f>
        <v/>
      </c>
      <c r="B43" s="80">
        <f t="shared" si="0"/>
        <v>46417</v>
      </c>
      <c r="C43" s="83">
        <f>C42+1</f>
        <v>46417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4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1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6"/>
        <v>0</v>
      </c>
      <c r="AD43" s="203">
        <f t="shared" si="7"/>
        <v>0</v>
      </c>
      <c r="AE43" s="203">
        <f t="shared" si="8"/>
        <v>0</v>
      </c>
      <c r="AF43" s="103">
        <f t="shared" si="9"/>
        <v>0</v>
      </c>
      <c r="AG43" s="103">
        <f t="shared" si="10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IF(ISERROR(VLOOKUP(C44,Datenblatt!$C$84:$C$97,1,FALSE)),"","Ft")</f>
        <v/>
      </c>
      <c r="B44" s="149">
        <f t="shared" si="0"/>
        <v>46418</v>
      </c>
      <c r="C44" s="150">
        <f>C43+1</f>
        <v>46418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>
        <f t="shared" si="3"/>
        <v>0</v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4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1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6"/>
        <v>0</v>
      </c>
      <c r="AD44" s="203">
        <f t="shared" si="7"/>
        <v>0</v>
      </c>
      <c r="AE44" s="203">
        <f t="shared" si="8"/>
        <v>0</v>
      </c>
      <c r="AF44" s="103">
        <f t="shared" si="9"/>
        <v>0</v>
      </c>
      <c r="AG44" s="103">
        <f t="shared" si="10"/>
        <v>0</v>
      </c>
      <c r="AH44" s="103">
        <f>IF(E44="",0,VLOOKUP(E44,Datenblatt!$E$2:$G$28,3,FALSE))</f>
        <v>0</v>
      </c>
    </row>
    <row r="45" spans="1:34" ht="13" customHeight="1" thickBot="1">
      <c r="A45" s="84" t="str">
        <f>IF(ISERROR(VLOOKUP(C45,Datenblatt!$B$84:$B$97,1,FALSE)),"","Ft")</f>
        <v/>
      </c>
      <c r="B45" s="143"/>
      <c r="C45" s="140"/>
      <c r="D45" s="140"/>
      <c r="E45" s="135"/>
      <c r="F45" s="135"/>
      <c r="G45" s="135"/>
      <c r="H45" s="135"/>
      <c r="I45" s="135"/>
      <c r="J45" s="144">
        <f>SUM(J14:J44)</f>
        <v>0</v>
      </c>
      <c r="K45" s="202">
        <f>SUM(K14:K44)</f>
        <v>0</v>
      </c>
      <c r="L45" s="183" t="str">
        <f>IF(D44="ND",9,IF(D44="ND12,5",8.5,"0"))</f>
        <v>0</v>
      </c>
      <c r="M45" s="183" t="str">
        <f>IF(D44="ND",9,IF(D44="ND12,5",8.5,"0"))</f>
        <v>0</v>
      </c>
      <c r="N45" s="207">
        <f t="shared" ref="N45" si="11">SUM(N14:N44)</f>
        <v>0</v>
      </c>
      <c r="O45" s="207">
        <f>SUM(O14:O44)</f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6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0"/>
      <c r="M46" s="67"/>
      <c r="N46" s="67"/>
      <c r="O46" s="184"/>
      <c r="P46" s="185"/>
      <c r="Q46" s="19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 ht="13" customHeight="1">
      <c r="A47" s="84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61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 ht="13" customHeight="1">
      <c r="A48" s="84"/>
      <c r="B48" s="180" t="str">
        <f>"Verrechnung von Sonderzahlungen, Überstunden, Nachtgutstunden und Nachtdiensten erfolgt im Folgemonat"&amp;" "&amp;Start!$B$16</f>
        <v>Verrechnung von Sonderzahlungen, Überstunden, Nachtgutstunden und Nachtdiensten erfolgt im Folgemonat Februar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"&amp;Start!$B$27</f>
        <v>Monatsprofil Jänner.</v>
      </c>
      <c r="O50" s="541"/>
      <c r="P50" s="542"/>
      <c r="R50" s="84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IF(OR(Start!$D$8=Gehalt!$K$37,Start!$D$8=Gehalt!$K$39,Start!$D$8=Gehalt!$K$41),Gehalt!$O$29,0)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("&amp;""&amp;Gehalt!$O$25&amp;""&amp;"€/h)"</f>
        <v>9545 Nachtdienstpauschale Gesamt (31,48€/h)</v>
      </c>
      <c r="H52" s="141"/>
      <c r="I52" s="141"/>
      <c r="J52" s="141"/>
      <c r="K52" s="245">
        <f>SUM($AF$14:$AG$44)</f>
        <v>0</v>
      </c>
      <c r="L52" s="215">
        <f>$K$52*Gehalt!$O$25</f>
        <v>0</v>
      </c>
      <c r="N52" s="538" t="s">
        <v>236</v>
      </c>
      <c r="O52" s="539"/>
      <c r="P52" s="318">
        <f>VLOOKUP($B$8,Datenblatt!$A$100:$I$128,2,FALSE)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("&amp;""&amp;Gehalt!$O$26&amp;""&amp;"€/h)"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$K$53*Gehalt!$O$26</f>
        <v>0</v>
      </c>
      <c r="N53" s="538" t="s">
        <v>237</v>
      </c>
      <c r="O53" s="539"/>
      <c r="P53" s="318">
        <f>VLOOKUP($B$8,Datenblatt!$A$100:$I$128,3,FALSE)</f>
        <v>2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VLOOKUP($B$8,Datenblatt!$A$100:$I$128,4,FALSE)</f>
        <v>10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VLOOKUP($B$8,Datenblatt!$A$100:$I$128,5,FALSE)</f>
        <v>19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IF(Dezember!$P$63-SUM(Start!$E$22:$E$27)*2&lt;=0,0,Dezember!$P$63-SUM(Start!$E$22:$E$27)*2)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VLOOKUP($B$8,Datenblatt!$A$100:$I$128,7,FALSE)</f>
        <v>21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$K$57*Gehalt!$O$28</f>
        <v>0</v>
      </c>
      <c r="N57" s="538" t="s">
        <v>235</v>
      </c>
      <c r="O57" s="539"/>
      <c r="P57" s="318">
        <f>VLOOKUP($B$8,Datenblatt!$A$100:$I$128,6,FALSE)</f>
        <v>152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IF($J$58="ja",Gehalt!$O$27,0)</f>
        <v>0</v>
      </c>
      <c r="N58" s="546" t="str">
        <f>"Stundenkonto Monatsende"&amp;" "&amp;Start!$B$27</f>
        <v>Stundenkonto Monatsende Jänner.</v>
      </c>
      <c r="O58" s="547"/>
      <c r="P58" s="548"/>
      <c r="S58" s="56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S59" s="56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Start!$C$32+SUM(Jänner:Jänner.!$D$51)+Jänner.!$P$65</f>
        <v>0</v>
      </c>
      <c r="S60" s="56"/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Start!$C$33+SUM(Jänner:Jänner.!$D$52)+SUM(Jänner:Jänner.!$E$52)</f>
        <v>0</v>
      </c>
      <c r="S61" s="56"/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Start!$C$34+SUM(Jänner:Jänner.!$D$53)+SUM(Jänner:Jänner.!$E$53)</f>
        <v>0</v>
      </c>
      <c r="Q62" s="84"/>
      <c r="R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Start!$C$35+SUM(Jänner:Jänner.!$D$54)+SUM(Jänner:Jänner.!$E$54)-SUM(Jänner:Jänner.!$K$56)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32" t="s">
        <v>355</v>
      </c>
      <c r="O65" s="632"/>
      <c r="P65" s="462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152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E1txHPRbAxD6gBpUGY2I6tdeBco4/XK7mfJnoiQLu9rbFd6ydIx1SbRpzM9wuoxz9Spa+k7j0umh0b3JIRBQOw==" saltValue="yfWSoVyOTllRD/xly/UEZQ==" spinCount="100000" sheet="1" selectLockedCells="1"/>
  <mergeCells count="56">
    <mergeCell ref="N65:O65"/>
    <mergeCell ref="M9:M11"/>
    <mergeCell ref="L47:O47"/>
    <mergeCell ref="C50:D50"/>
    <mergeCell ref="G54:I54"/>
    <mergeCell ref="J9:J11"/>
    <mergeCell ref="K9:K11"/>
    <mergeCell ref="L9:L11"/>
    <mergeCell ref="B9:C11"/>
    <mergeCell ref="D9:D11"/>
    <mergeCell ref="E9:E11"/>
    <mergeCell ref="F9:G10"/>
    <mergeCell ref="H9:I10"/>
    <mergeCell ref="N62:O62"/>
    <mergeCell ref="N60:O60"/>
    <mergeCell ref="L48:O48"/>
    <mergeCell ref="N50:P51"/>
    <mergeCell ref="N58:P59"/>
    <mergeCell ref="N52:O52"/>
    <mergeCell ref="N53:O53"/>
    <mergeCell ref="N54:O54"/>
    <mergeCell ref="AF10:AF11"/>
    <mergeCell ref="AG10:AG11"/>
    <mergeCell ref="N13:O13"/>
    <mergeCell ref="N63:O63"/>
    <mergeCell ref="S9:S11"/>
    <mergeCell ref="U10:Y10"/>
    <mergeCell ref="AA10:AE10"/>
    <mergeCell ref="Q9:Q11"/>
    <mergeCell ref="R9:R11"/>
    <mergeCell ref="O9:O11"/>
    <mergeCell ref="P9:P11"/>
    <mergeCell ref="N9:N11"/>
    <mergeCell ref="N55:O55"/>
    <mergeCell ref="N56:O56"/>
    <mergeCell ref="N57:O57"/>
    <mergeCell ref="N61:O61"/>
    <mergeCell ref="N8:P8"/>
    <mergeCell ref="B8:C8"/>
    <mergeCell ref="E8:G8"/>
    <mergeCell ref="N5:P5"/>
    <mergeCell ref="N7:P7"/>
    <mergeCell ref="N6:P6"/>
    <mergeCell ref="H8:J8"/>
    <mergeCell ref="K8:M8"/>
    <mergeCell ref="B3:J4"/>
    <mergeCell ref="K5:M5"/>
    <mergeCell ref="B7:C7"/>
    <mergeCell ref="E7:G7"/>
    <mergeCell ref="H7:J7"/>
    <mergeCell ref="K7:M7"/>
    <mergeCell ref="K6:M6"/>
    <mergeCell ref="B5:E5"/>
    <mergeCell ref="F5:J5"/>
    <mergeCell ref="B6:E6"/>
    <mergeCell ref="F6:J6"/>
  </mergeCells>
  <conditionalFormatting sqref="A13:A44">
    <cfRule type="cellIs" dxfId="102" priority="8" operator="equal">
      <formula>"HFT"</formula>
    </cfRule>
    <cfRule type="cellIs" dxfId="101" priority="9" operator="equal">
      <formula>"FT"</formula>
    </cfRule>
  </conditionalFormatting>
  <conditionalFormatting sqref="A45">
    <cfRule type="cellIs" dxfId="100" priority="101" operator="equal">
      <formula>"Ft"</formula>
    </cfRule>
  </conditionalFormatting>
  <conditionalFormatting sqref="B13:C44">
    <cfRule type="expression" dxfId="98" priority="102">
      <formula>WEEKDAY($C13,2)&gt;5</formula>
    </cfRule>
  </conditionalFormatting>
  <conditionalFormatting sqref="E8">
    <cfRule type="cellIs" dxfId="97" priority="45" operator="greaterThan">
      <formula>48</formula>
    </cfRule>
  </conditionalFormatting>
  <conditionalFormatting sqref="I47:K47">
    <cfRule type="cellIs" dxfId="96" priority="74" operator="equal">
      <formula>"Wochenarbeitszeit überschritten"</formula>
    </cfRule>
  </conditionalFormatting>
  <conditionalFormatting sqref="J45:P45">
    <cfRule type="cellIs" dxfId="95" priority="79" operator="equal">
      <formula>0</formula>
    </cfRule>
  </conditionalFormatting>
  <conditionalFormatting sqref="K8">
    <cfRule type="cellIs" dxfId="94" priority="95" operator="equal">
      <formula>$N$8</formula>
    </cfRule>
    <cfRule type="cellIs" dxfId="93" priority="96" operator="greaterThan">
      <formula>$N$8</formula>
    </cfRule>
    <cfRule type="cellIs" dxfId="92" priority="97" operator="lessThan">
      <formula>$N$8</formula>
    </cfRule>
  </conditionalFormatting>
  <conditionalFormatting sqref="K14:K44">
    <cfRule type="cellIs" dxfId="91" priority="31" operator="lessThanOrEqual">
      <formula>0</formula>
    </cfRule>
    <cfRule type="cellIs" dxfId="90" priority="32" operator="greaterThan">
      <formula>0</formula>
    </cfRule>
  </conditionalFormatting>
  <conditionalFormatting sqref="K45">
    <cfRule type="cellIs" dxfId="89" priority="94" operator="lessThan">
      <formula>0</formula>
    </cfRule>
  </conditionalFormatting>
  <conditionalFormatting sqref="N14:O44">
    <cfRule type="cellIs" dxfId="88" priority="11" operator="equal">
      <formula>0</formula>
    </cfRule>
  </conditionalFormatting>
  <conditionalFormatting sqref="P13:P44">
    <cfRule type="cellIs" dxfId="87" priority="2" operator="equal">
      <formula>0</formula>
    </cfRule>
  </conditionalFormatting>
  <conditionalFormatting sqref="P60:P63">
    <cfRule type="cellIs" dxfId="86" priority="58" operator="lessThan">
      <formula>0</formula>
    </cfRule>
  </conditionalFormatting>
  <conditionalFormatting sqref="P65:P67">
    <cfRule type="cellIs" dxfId="85" priority="42" operator="lessThan">
      <formula>0</formula>
    </cfRule>
  </conditionalFormatting>
  <conditionalFormatting sqref="Q47">
    <cfRule type="cellIs" dxfId="84" priority="47" operator="equal">
      <formula>0</formula>
    </cfRule>
  </conditionalFormatting>
  <conditionalFormatting sqref="T51:W51">
    <cfRule type="cellIs" dxfId="83" priority="25" operator="equal">
      <formula>0</formula>
    </cfRule>
  </conditionalFormatting>
  <conditionalFormatting sqref="T14:Y44">
    <cfRule type="cellIs" dxfId="82" priority="59" operator="equal">
      <formula>0</formula>
    </cfRule>
  </conditionalFormatting>
  <conditionalFormatting sqref="T45:AD45">
    <cfRule type="cellIs" dxfId="81" priority="83" operator="equal">
      <formula>0</formula>
    </cfRule>
  </conditionalFormatting>
  <conditionalFormatting sqref="U51:Y53">
    <cfRule type="cellIs" dxfId="80" priority="15" operator="equal">
      <formula>0</formula>
    </cfRule>
  </conditionalFormatting>
  <conditionalFormatting sqref="V13:Y13">
    <cfRule type="cellIs" dxfId="79" priority="88" operator="equal">
      <formula>0</formula>
    </cfRule>
  </conditionalFormatting>
  <conditionalFormatting sqref="W52">
    <cfRule type="cellIs" dxfId="78" priority="19" operator="equal">
      <formula>0</formula>
    </cfRule>
  </conditionalFormatting>
  <conditionalFormatting sqref="Z13:Z44">
    <cfRule type="cellIs" dxfId="77" priority="90" operator="equal">
      <formula>0</formula>
    </cfRule>
  </conditionalFormatting>
  <conditionalFormatting sqref="Z51:AC51">
    <cfRule type="cellIs" dxfId="76" priority="23" operator="equal">
      <formula>0</formula>
    </cfRule>
  </conditionalFormatting>
  <conditionalFormatting sqref="AA14:AB44">
    <cfRule type="cellIs" dxfId="75" priority="33" operator="equal">
      <formula>0</formula>
    </cfRule>
  </conditionalFormatting>
  <conditionalFormatting sqref="AA51:AE52">
    <cfRule type="cellIs" dxfId="74" priority="5" operator="equal">
      <formula>0</formula>
    </cfRule>
  </conditionalFormatting>
  <conditionalFormatting sqref="AC13:AD44">
    <cfRule type="cellIs" dxfId="73" priority="71" operator="equal">
      <formula>0</formula>
    </cfRule>
  </conditionalFormatting>
  <conditionalFormatting sqref="AE13:AE45">
    <cfRule type="cellIs" dxfId="72" priority="1" operator="equal">
      <formula>0</formula>
    </cfRule>
  </conditionalFormatting>
  <conditionalFormatting sqref="AF13:AG44">
    <cfRule type="cellIs" dxfId="71" priority="64" operator="equal">
      <formula>0</formula>
    </cfRule>
  </conditionalFormatting>
  <conditionalFormatting sqref="AG51:AH51">
    <cfRule type="cellIs" dxfId="70" priority="14" operator="equal">
      <formula>0</formula>
    </cfRule>
  </conditionalFormatting>
  <conditionalFormatting sqref="AH14:AH44">
    <cfRule type="cellIs" dxfId="69" priority="28" operator="equal">
      <formula>0</formula>
    </cfRule>
  </conditionalFormatting>
  <conditionalFormatting sqref="AH51:AH52">
    <cfRule type="cellIs" dxfId="68" priority="12" operator="equal">
      <formula>0</formula>
    </cfRule>
  </conditionalFormatting>
  <dataValidations count="4">
    <dataValidation type="list" allowBlank="1" showInputMessage="1" showErrorMessage="1" sqref="J14:J44" xr:uid="{B6D196B2-3FB2-4C54-8C0F-1C4E79AD5DDE}">
      <formula1>AbwesenheitenStunden</formula1>
    </dataValidation>
    <dataValidation type="list" allowBlank="1" showInputMessage="1" showErrorMessage="1" error="Die Eingabe ist unzulässig_x000a_Bitte Drop Down Felder verwenden" sqref="F14:G44" xr:uid="{EC44EF69-8297-43B1-AC28-6BDE37E8CE23}">
      <formula1>Zeiten1</formula1>
    </dataValidation>
    <dataValidation type="decimal" allowBlank="1" showInputMessage="1" showErrorMessage="1" error="Die ausgewählte Stundenanzahl steht nicht zur Verfügung!" sqref="J54" xr:uid="{946162B2-BA40-4C96-A610-56D80E8EB778}">
      <formula1>0</formula1>
      <formula2>K54</formula2>
    </dataValidation>
    <dataValidation type="list" allowBlank="1" showInputMessage="1" showErrorMessage="1" sqref="H14:I44" xr:uid="{3D739E2D-93BA-4883-AA1C-AF7888FE2D8F}">
      <formula1>Zeiten2</formula1>
    </dataValidation>
  </dataValidations>
  <pageMargins left="0" right="0" top="0" bottom="0" header="0" footer="0"/>
  <pageSetup paperSize="9" orientation="landscape" horizontalDpi="4294967293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3" id="{A6615CEE-F4F8-4EC4-A323-38D7C8A4A420}">
            <xm:f>COUNTIF(Datenblatt!$C$84:$C$97,$C13)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F00-000006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5CD4AEAB-B18F-405A-9600-FA85FCE2404E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15D2E8FA-C1E7-4844-8409-F0F5FEEBA8F9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8E62F03D-4D00-461E-AB64-F1AAFF9DAD38}">
          <x14:formula1>
            <xm:f>Datenblatt!$D$58:$D$59</xm:f>
          </x14:formula1>
          <xm:sqref>P47 J58</xm:sqref>
        </x14:dataValidation>
        <x14:dataValidation type="list" allowBlank="1" showInputMessage="1" showErrorMessage="1" xr:uid="{185CD8BD-1121-4441-8C17-BC4D9E331030}">
          <x14:formula1>
            <xm:f>Datenblatt!$D$52:$D$53</xm:f>
          </x14:formula1>
          <xm:sqref>P48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5CDE-FE0F-47DF-A5E2-4BBD42B2BE8F}">
  <sheetPr>
    <tabColor theme="9" tint="0.59999389629810485"/>
  </sheetPr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618">
        <f>IF(SUM(N14:O41,L13:L41,AA51:AD51,AA52:AB52)=0,Datenblatt!J113,SUM(N14:O41,L13:L41,AA51:AD51,AA52:AB52,AH51:AH52))</f>
        <v>192</v>
      </c>
      <c r="L6" s="619"/>
      <c r="M6" s="620"/>
      <c r="N6" s="574">
        <f>COUNTIF(D14:E41,"ND")+COUNTIF(D14:E41,"ND12,5")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630">
        <f>DATE($D$8,2,1)</f>
        <v>46419</v>
      </c>
      <c r="C8" s="631"/>
      <c r="D8" s="489">
        <f>Start!$D$2+1</f>
        <v>2027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SUM(M13:M41)</f>
        <v>0</v>
      </c>
      <c r="L8" s="554"/>
      <c r="M8" s="554"/>
      <c r="N8" s="555">
        <f>VLOOKUP($B$8,Datenblatt!A100:F123,6,FALSE)</f>
        <v>160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1" si="0">C13</f>
        <v>46418</v>
      </c>
      <c r="C13" s="139">
        <f>C14-1</f>
        <v>46418</v>
      </c>
      <c r="D13" s="143" t="str">
        <f>IF(Jänner.!D$44="","",Jänner.!D$44)</f>
        <v/>
      </c>
      <c r="E13" s="140" t="str">
        <f>IF(Jänner.!E$44="","",Jänner.!E$44)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46419</v>
      </c>
      <c r="C14" s="81">
        <f>DATE($D$8,MONTH(B$8),1)</f>
        <v>46419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1" si="2">IF(AND(F14="",G14=""),"",IF(OR(F14&gt;G14,AND(F14="",G14&gt;0),F14=G14),"ungültig",IF(OR(WEEKDAY(B14,2)=7,A14="Ft"),0,(G14-F14)*24)))</f>
        <v/>
      </c>
      <c r="O14" s="200" t="str">
        <f t="shared" ref="O14:O41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$45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$45="Freizeit",(-M14-J14+IF(ISNUMBER(N14),(N14*1.5),0)+IF(ISNUMBER(O14),(O14*2),0)+IF(OR(E14="ND",E14="ND12,5"),2,0)),(-M14-J14)),IF($P$45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46420</v>
      </c>
      <c r="C15" s="82">
        <f t="shared" ref="C15:C41" si="4">C14+1</f>
        <v>46420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$45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$45="Freizeit",(-M15-J15+IF(ISNUMBER(N15),(N15*1.5),0)+IF(ISNUMBER(O15),(O15*2),0)+IF(OR(E15="ND",E15="ND12,5"),2,0)),(-M15-J15)),IF($P$45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1" si="5">IF(K15="",0,K15)</f>
        <v>0</v>
      </c>
      <c r="U15" s="105">
        <f t="array" ref="U15">IF(T14=0,0,IF(AND((ROW(T14)=MATCH(TRUE,($T$1:$T$41)&gt;0,0)),(D14="ND")),IF(T14&lt;3,T14,3),IF(AND(ROW(T14)=MATCH(TRUE,($T$1:$T$41)&gt;0,0),D14="ND12,5"),IF(T14&lt;2.5,T14,2.5),IF(D14="ND12,5",2.5,(T14-V14-W14)))))</f>
        <v>0</v>
      </c>
      <c r="V15" s="103">
        <f t="array" ref="V15">IF(T15=0,0,IF(AND((ROW(T15)=MATCH(TRUE,($T$1:$T$41)&gt;0,0)),(D15="ND")),IF(AND(T15&gt;11,T15&lt;=25),T15-11,0),IF(AND(ROW(T15)=MATCH(TRUE,($T$1:$T$41)&gt;0,0),D15="ND12,5"),IF(AND(T15&gt;10.5,T15&lt;=12.5),T15-10.5,0),IF(D15="ND12,5",2,IF(T15&lt;14,T15,14)))))</f>
        <v>0</v>
      </c>
      <c r="W15" s="103">
        <f t="array" ref="W15">IF(T15=0,0,IF(AND((ROW(T15)=MATCH(TRUE,($T$1:$T$41)&gt;0,0)),(D15="ND")),IF(AND(T15&gt;3,T15&lt;11),T15-3,IF(T15&gt;=11,8,0)),IF(AND((ROW(T15)=MATCH(TRUE,($T$1:$T$41)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IF(T15=0,0,IF((AND((ROW(T15)=MATCH(TRUE,($T$1:$T$41)&gt;0,0)))),IF(W15&gt;=6,W15-6,0),IF(W15&gt;=2,2,W15)))</f>
        <v>0</v>
      </c>
      <c r="Y15" s="242">
        <f t="array" ref="Y15">IF(T14=0,0,(IF((AND((ROW(T14)=MATCH(TRUE,($T$1:$T$41)&gt;0,0)))),IF(W14&gt;=6,6,W14),IF(W14&gt;=2,W14-2,0))))</f>
        <v>0</v>
      </c>
      <c r="Z15" s="102" t="str">
        <f t="shared" ref="Z15:Z41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1" si="7">IF(OR(E15="ND",E15="ND12,5"),2,0)</f>
        <v>0</v>
      </c>
      <c r="AD15" s="203">
        <f t="shared" ref="AD15:AD41" si="8">IF(OR(E14="ND",E14="ND12,5"),6,0)</f>
        <v>0</v>
      </c>
      <c r="AE15" s="203">
        <f t="shared" ref="AE15:AE41" si="9">IF(AND(E14="ND",AA15&gt;=2),1,IF(AND(E14="ND12,5",AA15&gt;=2),0.5,0))</f>
        <v>0</v>
      </c>
      <c r="AF15" s="103">
        <f t="shared" ref="AF15:AF41" si="10">IF(OR(D15="ND",D15="ND12,5"),2-X15,0)</f>
        <v>0</v>
      </c>
      <c r="AG15" s="103">
        <f t="shared" ref="AG15:AG41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46421</v>
      </c>
      <c r="C16" s="82">
        <f t="shared" si="4"/>
        <v>46421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$45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$45="Freizeit",(-M16-J16+IF(ISNUMBER(N16),(N16*1.5),0)+IF(ISNUMBER(O16),(O16*2),0)+IF(OR(E16="ND",E16="ND12,5"),2,0)),(-M16-J16)),IF($P$45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IF(T15=0,0,IF(AND((ROW(T15)=MATCH(TRUE,($T$1:$T$41)&gt;0,0)),(D15="ND")),IF(T15&lt;3,T15,3),IF(AND(ROW(T15)=MATCH(TRUE,($T$1:$T$41)&gt;0,0),D15="ND12,5"),IF(T15&lt;2.5,T15,2.5),IF(D15="ND12,5",2.5,(T15-V15-W15)))))</f>
        <v>0</v>
      </c>
      <c r="V16" s="103">
        <f t="array" ref="V16">IF(T16=0,0,IF(AND((ROW(T16)=MATCH(TRUE,($T$1:$T$41)&gt;0,0)),(D16="ND")),IF(AND(T16&gt;11,T16&lt;=25),T16-11,0),IF(AND(ROW(T16)=MATCH(TRUE,($T$1:$T$41)&gt;0,0),D16="ND12,5"),IF(AND(T16&gt;10.5,T16&lt;=12.5),T16-10.5,0),IF(D16="ND12,5",2,IF(T16&lt;14,T16,14)))))</f>
        <v>0</v>
      </c>
      <c r="W16" s="103">
        <f t="array" ref="W16">IF(T16=0,0,IF(AND((ROW(T16)=MATCH(TRUE,($T$1:$T$41)&gt;0,0)),(D16="ND")),IF(AND(T16&gt;3,T16&lt;11),T16-3,IF(T16&gt;=11,8,0)),IF(AND((ROW(T16)=MATCH(TRUE,($T$1:$T$41)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IF(T16=0,0,IF((AND((ROW(T16)=MATCH(TRUE,($T$1:$T$41)&gt;0,0)))),IF(W16&gt;=6,W16-6,0),IF(W16&gt;=2,2,W16)))</f>
        <v>0</v>
      </c>
      <c r="Y16" s="242">
        <f t="array" ref="Y16">IF(T15=0,0,(IF((AND((ROW(T15)=MATCH(TRUE,($T$1:$T$41)&gt;0,0)))),IF(W15&gt;=6,6,W15),IF(W15&gt;=2,W15-2,0))))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46422</v>
      </c>
      <c r="C17" s="82">
        <f t="shared" si="4"/>
        <v>46422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$45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$45="Freizeit",(-M17-J17+IF(ISNUMBER(N17),(N17*1.5),0)+IF(ISNUMBER(O17),(O17*2),0)+IF(OR(E17="ND",E17="ND12,5"),2,0)),(-M17-J17)),IF($P$45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IF(T16=0,0,IF(AND((ROW(T16)=MATCH(TRUE,($T$1:$T$41)&gt;0,0)),(D16="ND")),IF(T16&lt;3,T16,3),IF(AND(ROW(T16)=MATCH(TRUE,($T$1:$T$41)&gt;0,0),D16="ND12,5"),IF(T16&lt;2.5,T16,2.5),IF(D16="ND12,5",2.5,(T16-V16-W16)))))</f>
        <v>0</v>
      </c>
      <c r="V17" s="103">
        <f t="array" ref="V17">IF(T17=0,0,IF(AND((ROW(T17)=MATCH(TRUE,($T$1:$T$41)&gt;0,0)),(D17="ND")),IF(AND(T17&gt;11,T17&lt;=25),T17-11,0),IF(AND(ROW(T17)=MATCH(TRUE,($T$1:$T$41)&gt;0,0),D17="ND12,5"),IF(AND(T17&gt;10.5,T17&lt;=12.5),T17-10.5,0),IF(D17="ND12,5",2,IF(T17&lt;14,T17,14)))))</f>
        <v>0</v>
      </c>
      <c r="W17" s="103">
        <f t="array" ref="W17">IF(T17=0,0,IF(AND((ROW(T17)=MATCH(TRUE,($T$1:$T$41)&gt;0,0)),(D17="ND")),IF(AND(T17&gt;3,T17&lt;11),T17-3,IF(T17&gt;=11,8,0)),IF(AND((ROW(T17)=MATCH(TRUE,($T$1:$T$41)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IF(T17=0,0,IF((AND((ROW(T17)=MATCH(TRUE,($T$1:$T$41)&gt;0,0)))),IF(W17&gt;=6,W17-6,0),IF(W17&gt;=2,2,W17)))</f>
        <v>0</v>
      </c>
      <c r="Y17" s="242">
        <f t="array" ref="Y17">IF(T16=0,0,(IF((AND((ROW(T16)=MATCH(TRUE,($T$1:$T$41)&gt;0,0)))),IF(W16&gt;=6,6,W16),IF(W16&gt;=2,W16-2,0))))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46423</v>
      </c>
      <c r="C18" s="82">
        <f t="shared" si="4"/>
        <v>46423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$45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$45="Freizeit",(-M18-J18+IF(ISNUMBER(N18),(N18*1.5),0)+IF(ISNUMBER(O18),(O18*2),0)+IF(OR(E18="ND",E18="ND12,5"),2,0)),(-M18-J18)),IF($P$45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IF(T17=0,0,IF(AND((ROW(T17)=MATCH(TRUE,($T$1:$T$41)&gt;0,0)),(D17="ND")),IF(T17&lt;3,T17,3),IF(AND(ROW(T17)=MATCH(TRUE,($T$1:$T$41)&gt;0,0),D17="ND12,5"),IF(T17&lt;2.5,T17,2.5),IF(D17="ND12,5",2.5,(T17-V17-W17)))))</f>
        <v>0</v>
      </c>
      <c r="V18" s="103">
        <f t="array" ref="V18">IF(T18=0,0,IF(AND((ROW(T18)=MATCH(TRUE,($T$1:$T$41)&gt;0,0)),(D18="ND")),IF(AND(T18&gt;11,T18&lt;=25),T18-11,0),IF(AND(ROW(T18)=MATCH(TRUE,($T$1:$T$41)&gt;0,0),D18="ND12,5"),IF(AND(T18&gt;10.5,T18&lt;=12.5),T18-10.5,0),IF(D18="ND12,5",2,IF(T18&lt;14,T18,14)))))</f>
        <v>0</v>
      </c>
      <c r="W18" s="103">
        <f t="array" ref="W18">IF(T18=0,0,IF(AND((ROW(T18)=MATCH(TRUE,($T$1:$T$41)&gt;0,0)),(D18="ND")),IF(AND(T18&gt;3,T18&lt;11),T18-3,IF(T18&gt;=11,8,0)),IF(AND((ROW(T18)=MATCH(TRUE,($T$1:$T$41)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IF(T18=0,0,IF((AND((ROW(T18)=MATCH(TRUE,($T$1:$T$41)&gt;0,0)))),IF(W18&gt;=6,W18-6,0),IF(W18&gt;=2,2,W18)))</f>
        <v>0</v>
      </c>
      <c r="Y18" s="242">
        <f t="array" ref="Y18">IF(T17=0,0,(IF((AND((ROW(T17)=MATCH(TRUE,($T$1:$T$41)&gt;0,0)))),IF(W17&gt;=6,6,W17),IF(W17&gt;=2,W17-2,0))))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46424</v>
      </c>
      <c r="C19" s="82">
        <f t="shared" si="4"/>
        <v>46424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$45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$45="Freizeit",(-M19-J19+IF(ISNUMBER(N19),(N19*1.5),0)+IF(ISNUMBER(O19),(O19*2),0)+IF(OR(E19="ND",E19="ND12,5"),2,0)),(-M19-J19)),IF($P$45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IF(T18=0,0,IF(AND((ROW(T18)=MATCH(TRUE,($T$1:$T$41)&gt;0,0)),(D18="ND")),IF(T18&lt;3,T18,3),IF(AND(ROW(T18)=MATCH(TRUE,($T$1:$T$41)&gt;0,0),D18="ND12,5"),IF(T18&lt;2.5,T18,2.5),IF(D18="ND12,5",2.5,(T18-V18-W18)))))</f>
        <v>0</v>
      </c>
      <c r="V19" s="103">
        <f t="array" ref="V19">IF(T19=0,0,IF(AND((ROW(T19)=MATCH(TRUE,($T$1:$T$41)&gt;0,0)),(D19="ND")),IF(AND(T19&gt;11,T19&lt;=25),T19-11,0),IF(AND(ROW(T19)=MATCH(TRUE,($T$1:$T$41)&gt;0,0),D19="ND12,5"),IF(AND(T19&gt;10.5,T19&lt;=12.5),T19-10.5,0),IF(D19="ND12,5",2,IF(T19&lt;14,T19,14)))))</f>
        <v>0</v>
      </c>
      <c r="W19" s="103">
        <f t="array" ref="W19">IF(T19=0,0,IF(AND((ROW(T19)=MATCH(TRUE,($T$1:$T$41)&gt;0,0)),(D19="ND")),IF(AND(T19&gt;3,T19&lt;11),T19-3,IF(T19&gt;=11,8,0)),IF(AND((ROW(T19)=MATCH(TRUE,($T$1:$T$41)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IF(T19=0,0,IF((AND((ROW(T19)=MATCH(TRUE,($T$1:$T$41)&gt;0,0)))),IF(W19&gt;=6,W19-6,0),IF(W19&gt;=2,2,W19)))</f>
        <v>0</v>
      </c>
      <c r="Y19" s="242">
        <f t="array" ref="Y19">IF(T18=0,0,(IF((AND((ROW(T18)=MATCH(TRUE,($T$1:$T$41)&gt;0,0)))),IF(W18&gt;=6,6,W18),IF(W18&gt;=2,W18-2,0))))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46425</v>
      </c>
      <c r="C20" s="82">
        <f t="shared" si="4"/>
        <v>46425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>
        <f t="shared" si="3"/>
        <v>0</v>
      </c>
      <c r="P20" s="175">
        <f>IF(D20="",IF($P$45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$45="Freizeit",(-M20-J20+IF(ISNUMBER(N20),(N20*1.5),0)+IF(ISNUMBER(O20),(O20*2),0)+IF(OR(E20="ND",E20="ND12,5"),2,0)),(-M20-J20)),IF($P$45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IF(T19=0,0,IF(AND((ROW(T19)=MATCH(TRUE,($T$1:$T$41)&gt;0,0)),(D19="ND")),IF(T19&lt;3,T19,3),IF(AND(ROW(T19)=MATCH(TRUE,($T$1:$T$41)&gt;0,0),D19="ND12,5"),IF(T19&lt;2.5,T19,2.5),IF(D19="ND12,5",2.5,(T19-V19-W19)))))</f>
        <v>0</v>
      </c>
      <c r="V20" s="103">
        <f t="array" ref="V20">IF(T20=0,0,IF(AND((ROW(T20)=MATCH(TRUE,($T$1:$T$41)&gt;0,0)),(D20="ND")),IF(AND(T20&gt;11,T20&lt;=25),T20-11,0),IF(AND(ROW(T20)=MATCH(TRUE,($T$1:$T$41)&gt;0,0),D20="ND12,5"),IF(AND(T20&gt;10.5,T20&lt;=12.5),T20-10.5,0),IF(D20="ND12,5",2,IF(T20&lt;14,T20,14)))))</f>
        <v>0</v>
      </c>
      <c r="W20" s="103">
        <f t="array" ref="W20">IF(T20=0,0,IF(AND((ROW(T20)=MATCH(TRUE,($T$1:$T$41)&gt;0,0)),(D20="ND")),IF(AND(T20&gt;3,T20&lt;11),T20-3,IF(T20&gt;=11,8,0)),IF(AND((ROW(T20)=MATCH(TRUE,($T$1:$T$41)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IF(T20=0,0,IF((AND((ROW(T20)=MATCH(TRUE,($T$1:$T$41)&gt;0,0)))),IF(W20&gt;=6,W20-6,0),IF(W20&gt;=2,2,W20)))</f>
        <v>0</v>
      </c>
      <c r="Y20" s="242">
        <f t="array" ref="Y20">IF(T19=0,0,(IF((AND((ROW(T19)=MATCH(TRUE,($T$1:$T$41)&gt;0,0)))),IF(W19&gt;=6,6,W19),IF(W19&gt;=2,W19-2,0))))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46426</v>
      </c>
      <c r="C21" s="82">
        <f t="shared" si="4"/>
        <v>46426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$45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$45="Freizeit",(-M21-J21+IF(ISNUMBER(N21),(N21*1.5),0)+IF(ISNUMBER(O21),(O21*2),0)+IF(OR(E21="ND",E21="ND12,5"),2,0)),(-M21-J21)),IF($P$45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IF(T20=0,0,IF(AND((ROW(T20)=MATCH(TRUE,($T$1:$T$41)&gt;0,0)),(D20="ND")),IF(T20&lt;3,T20,3),IF(AND(ROW(T20)=MATCH(TRUE,($T$1:$T$41)&gt;0,0),D20="ND12,5"),IF(T20&lt;2.5,T20,2.5),IF(D20="ND12,5",2.5,(T20-V20-W20)))))</f>
        <v>0</v>
      </c>
      <c r="V21" s="103">
        <f t="array" ref="V21">IF(T21=0,0,IF(AND((ROW(T21)=MATCH(TRUE,($T$1:$T$41)&gt;0,0)),(D21="ND")),IF(AND(T21&gt;11,T21&lt;=25),T21-11,0),IF(AND(ROW(T21)=MATCH(TRUE,($T$1:$T$41)&gt;0,0),D21="ND12,5"),IF(AND(T21&gt;10.5,T21&lt;=12.5),T21-10.5,0),IF(D21="ND12,5",2,IF(T21&lt;14,T21,14)))))</f>
        <v>0</v>
      </c>
      <c r="W21" s="103">
        <f t="array" ref="W21">IF(T21=0,0,IF(AND((ROW(T21)=MATCH(TRUE,($T$1:$T$41)&gt;0,0)),(D21="ND")),IF(AND(T21&gt;3,T21&lt;11),T21-3,IF(T21&gt;=11,8,0)),IF(AND((ROW(T21)=MATCH(TRUE,($T$1:$T$41)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IF(T21=0,0,IF((AND((ROW(T21)=MATCH(TRUE,($T$1:$T$41)&gt;0,0)))),IF(W21&gt;=6,W21-6,0),IF(W21&gt;=2,2,W21)))</f>
        <v>0</v>
      </c>
      <c r="Y21" s="242">
        <f t="array" ref="Y21">IF(T20=0,0,(IF((AND((ROW(T20)=MATCH(TRUE,($T$1:$T$41)&gt;0,0)))),IF(W20&gt;=6,6,W20),IF(W20&gt;=2,W20-2,0))))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46427</v>
      </c>
      <c r="C22" s="82">
        <f t="shared" si="4"/>
        <v>46427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$45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$45="Freizeit",(-M22-J22+IF(ISNUMBER(N22),(N22*1.5),0)+IF(ISNUMBER(O22),(O22*2),0)+IF(OR(E22="ND",E22="ND12,5"),2,0)),(-M22-J22)),IF($P$45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IF(T21=0,0,IF(AND((ROW(T21)=MATCH(TRUE,($T$1:$T$41)&gt;0,0)),(D21="ND")),IF(T21&lt;3,T21,3),IF(AND(ROW(T21)=MATCH(TRUE,($T$1:$T$41)&gt;0,0),D21="ND12,5"),IF(T21&lt;2.5,T21,2.5),IF(D21="ND12,5",2.5,(T21-V21-W21)))))</f>
        <v>0</v>
      </c>
      <c r="V22" s="103">
        <f t="array" ref="V22">IF(T22=0,0,IF(AND((ROW(T22)=MATCH(TRUE,($T$1:$T$41)&gt;0,0)),(D22="ND")),IF(AND(T22&gt;11,T22&lt;=25),T22-11,0),IF(AND(ROW(T22)=MATCH(TRUE,($T$1:$T$41)&gt;0,0),D22="ND12,5"),IF(AND(T22&gt;10.5,T22&lt;=12.5),T22-10.5,0),IF(D22="ND12,5",2,IF(T22&lt;14,T22,14)))))</f>
        <v>0</v>
      </c>
      <c r="W22" s="103">
        <f t="array" ref="W22">IF(T22=0,0,IF(AND((ROW(T22)=MATCH(TRUE,($T$1:$T$41)&gt;0,0)),(D22="ND")),IF(AND(T22&gt;3,T22&lt;11),T22-3,IF(T22&gt;=11,8,0)),IF(AND((ROW(T22)=MATCH(TRUE,($T$1:$T$41)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IF(T22=0,0,IF((AND((ROW(T22)=MATCH(TRUE,($T$1:$T$41)&gt;0,0)))),IF(W22&gt;=6,W22-6,0),IF(W22&gt;=2,2,W22)))</f>
        <v>0</v>
      </c>
      <c r="Y22" s="242">
        <f t="array" ref="Y22">IF(T21=0,0,(IF((AND((ROW(T21)=MATCH(TRUE,($T$1:$T$41)&gt;0,0)))),IF(W21&gt;=6,6,W21),IF(W21&gt;=2,W21-2,0))))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46428</v>
      </c>
      <c r="C23" s="82">
        <f t="shared" si="4"/>
        <v>46428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$45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$45="Freizeit",(-M23-J23+IF(ISNUMBER(N23),(N23*1.5),0)+IF(ISNUMBER(O23),(O23*2),0)+IF(OR(E23="ND",E23="ND12,5"),2,0)),(-M23-J23)),IF($P$45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IF(T22=0,0,IF(AND((ROW(T22)=MATCH(TRUE,($T$1:$T$41)&gt;0,0)),(D22="ND")),IF(T22&lt;3,T22,3),IF(AND(ROW(T22)=MATCH(TRUE,($T$1:$T$41)&gt;0,0),D22="ND12,5"),IF(T22&lt;2.5,T22,2.5),IF(D22="ND12,5",2.5,(T22-V22-W22)))))</f>
        <v>0</v>
      </c>
      <c r="V23" s="103">
        <f t="array" ref="V23">IF(T23=0,0,IF(AND((ROW(T23)=MATCH(TRUE,($T$1:$T$41)&gt;0,0)),(D23="ND")),IF(AND(T23&gt;11,T23&lt;=25),T23-11,0),IF(AND(ROW(T23)=MATCH(TRUE,($T$1:$T$41)&gt;0,0),D23="ND12,5"),IF(AND(T23&gt;10.5,T23&lt;=12.5),T23-10.5,0),IF(D23="ND12,5",2,IF(T23&lt;14,T23,14)))))</f>
        <v>0</v>
      </c>
      <c r="W23" s="103">
        <f t="array" ref="W23">IF(T23=0,0,IF(AND((ROW(T23)=MATCH(TRUE,($T$1:$T$41)&gt;0,0)),(D23="ND")),IF(AND(T23&gt;3,T23&lt;11),T23-3,IF(T23&gt;=11,8,0)),IF(AND((ROW(T23)=MATCH(TRUE,($T$1:$T$41)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IF(T23=0,0,IF((AND((ROW(T23)=MATCH(TRUE,($T$1:$T$41)&gt;0,0)))),IF(W23&gt;=6,W23-6,0),IF(W23&gt;=2,2,W23)))</f>
        <v>0</v>
      </c>
      <c r="Y23" s="242">
        <f t="array" ref="Y23">IF(T22=0,0,(IF((AND((ROW(T22)=MATCH(TRUE,($T$1:$T$41)&gt;0,0)))),IF(W22&gt;=6,6,W22),IF(W22&gt;=2,W22-2,0))))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46429</v>
      </c>
      <c r="C24" s="82">
        <f t="shared" si="4"/>
        <v>46429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$45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$45="Freizeit",(-M24-J24+IF(ISNUMBER(N24),(N24*1.5),0)+IF(ISNUMBER(O24),(O24*2),0)+IF(OR(E24="ND",E24="ND12,5"),2,0)),(-M24-J24)),IF($P$45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IF(T23=0,0,IF(AND((ROW(T23)=MATCH(TRUE,($T$1:$T$41)&gt;0,0)),(D23="ND")),IF(T23&lt;3,T23,3),IF(AND(ROW(T23)=MATCH(TRUE,($T$1:$T$41)&gt;0,0),D23="ND12,5"),IF(T23&lt;2.5,T23,2.5),IF(D23="ND12,5",2.5,(T23-V23-W23)))))</f>
        <v>0</v>
      </c>
      <c r="V24" s="103">
        <f t="array" ref="V24">IF(T24=0,0,IF(AND((ROW(T24)=MATCH(TRUE,($T$1:$T$41)&gt;0,0)),(D24="ND")),IF(AND(T24&gt;11,T24&lt;=25),T24-11,0),IF(AND(ROW(T24)=MATCH(TRUE,($T$1:$T$41)&gt;0,0),D24="ND12,5"),IF(AND(T24&gt;10.5,T24&lt;=12.5),T24-10.5,0),IF(D24="ND12,5",2,IF(T24&lt;14,T24,14)))))</f>
        <v>0</v>
      </c>
      <c r="W24" s="103">
        <f t="array" ref="W24">IF(T24=0,0,IF(AND((ROW(T24)=MATCH(TRUE,($T$1:$T$41)&gt;0,0)),(D24="ND")),IF(AND(T24&gt;3,T24&lt;11),T24-3,IF(T24&gt;=11,8,0)),IF(AND((ROW(T24)=MATCH(TRUE,($T$1:$T$41)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IF(T24=0,0,IF((AND((ROW(T24)=MATCH(TRUE,($T$1:$T$41)&gt;0,0)))),IF(W24&gt;=6,W24-6,0),IF(W24&gt;=2,2,W24)))</f>
        <v>0</v>
      </c>
      <c r="Y24" s="242">
        <f t="array" ref="Y24">IF(T23=0,0,(IF((AND((ROW(T23)=MATCH(TRUE,($T$1:$T$41)&gt;0,0)))),IF(W23&gt;=6,6,W23),IF(W23&gt;=2,W23-2,0))))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46430</v>
      </c>
      <c r="C25" s="82">
        <f t="shared" si="4"/>
        <v>46430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$45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$45="Freizeit",(-M25-J25+IF(ISNUMBER(N25),(N25*1.5),0)+IF(ISNUMBER(O25),(O25*2),0)+IF(OR(E25="ND",E25="ND12,5"),2,0)),(-M25-J25)),IF($P$45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IF(T24=0,0,IF(AND((ROW(T24)=MATCH(TRUE,($T$1:$T$41)&gt;0,0)),(D24="ND")),IF(T24&lt;3,T24,3),IF(AND(ROW(T24)=MATCH(TRUE,($T$1:$T$41)&gt;0,0),D24="ND12,5"),IF(T24&lt;2.5,T24,2.5),IF(D24="ND12,5",2.5,(T24-V24-W24)))))</f>
        <v>0</v>
      </c>
      <c r="V25" s="103">
        <f t="array" ref="V25">IF(T25=0,0,IF(AND((ROW(T25)=MATCH(TRUE,($T$1:$T$41)&gt;0,0)),(D25="ND")),IF(AND(T25&gt;11,T25&lt;=25),T25-11,0),IF(AND(ROW(T25)=MATCH(TRUE,($T$1:$T$41)&gt;0,0),D25="ND12,5"),IF(AND(T25&gt;10.5,T25&lt;=12.5),T25-10.5,0),IF(D25="ND12,5",2,IF(T25&lt;14,T25,14)))))</f>
        <v>0</v>
      </c>
      <c r="W25" s="103">
        <f t="array" ref="W25">IF(T25=0,0,IF(AND((ROW(T25)=MATCH(TRUE,($T$1:$T$41)&gt;0,0)),(D25="ND")),IF(AND(T25&gt;3,T25&lt;11),T25-3,IF(T25&gt;=11,8,0)),IF(AND((ROW(T25)=MATCH(TRUE,($T$1:$T$41)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IF(T25=0,0,IF((AND((ROW(T25)=MATCH(TRUE,($T$1:$T$41)&gt;0,0)))),IF(W25&gt;=6,W25-6,0),IF(W25&gt;=2,2,W25)))</f>
        <v>0</v>
      </c>
      <c r="Y25" s="242">
        <f t="array" ref="Y25">IF(T24=0,0,(IF((AND((ROW(T24)=MATCH(TRUE,($T$1:$T$41)&gt;0,0)))),IF(W24&gt;=6,6,W24),IF(W24&gt;=2,W24-2,0))))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46431</v>
      </c>
      <c r="C26" s="82">
        <f t="shared" si="4"/>
        <v>46431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$45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$45="Freizeit",(-M26-J26+IF(ISNUMBER(N26),(N26*1.5),0)+IF(ISNUMBER(O26),(O26*2),0)+IF(OR(E26="ND",E26="ND12,5"),2,0)),(-M26-J26)),IF($P$45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IF(T25=0,0,IF(AND((ROW(T25)=MATCH(TRUE,($T$1:$T$41)&gt;0,0)),(D25="ND")),IF(T25&lt;3,T25,3),IF(AND(ROW(T25)=MATCH(TRUE,($T$1:$T$41)&gt;0,0),D25="ND12,5"),IF(T25&lt;2.5,T25,2.5),IF(D25="ND12,5",2.5,(T25-V25-W25)))))</f>
        <v>0</v>
      </c>
      <c r="V26" s="103">
        <f t="array" ref="V26">IF(T26=0,0,IF(AND((ROW(T26)=MATCH(TRUE,($T$1:$T$41)&gt;0,0)),(D26="ND")),IF(AND(T26&gt;11,T26&lt;=25),T26-11,0),IF(AND(ROW(T26)=MATCH(TRUE,($T$1:$T$41)&gt;0,0),D26="ND12,5"),IF(AND(T26&gt;10.5,T26&lt;=12.5),T26-10.5,0),IF(D26="ND12,5",2,IF(T26&lt;14,T26,14)))))</f>
        <v>0</v>
      </c>
      <c r="W26" s="103">
        <f t="array" ref="W26">IF(T26=0,0,IF(AND((ROW(T26)=MATCH(TRUE,($T$1:$T$41)&gt;0,0)),(D26="ND")),IF(AND(T26&gt;3,T26&lt;11),T26-3,IF(T26&gt;=11,8,0)),IF(AND((ROW(T26)=MATCH(TRUE,($T$1:$T$41)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IF(T26=0,0,IF((AND((ROW(T26)=MATCH(TRUE,($T$1:$T$41)&gt;0,0)))),IF(W26&gt;=6,W26-6,0),IF(W26&gt;=2,2,W26)))</f>
        <v>0</v>
      </c>
      <c r="Y26" s="242">
        <f t="array" ref="Y26">IF(T25=0,0,(IF((AND((ROW(T25)=MATCH(TRUE,($T$1:$T$41)&gt;0,0)))),IF(W25&gt;=6,6,W25),IF(W25&gt;=2,W25-2,0))))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46432</v>
      </c>
      <c r="C27" s="82">
        <f t="shared" si="4"/>
        <v>46432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>
        <f t="shared" si="3"/>
        <v>0</v>
      </c>
      <c r="P27" s="175">
        <f>IF(D27="",IF($P$45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$45="Freizeit",(-M27-J27+IF(ISNUMBER(N27),(N27*1.5),0)+IF(ISNUMBER(O27),(O27*2),0)+IF(OR(E27="ND",E27="ND12,5"),2,0)),(-M27-J27)),IF($P$45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IF(T26=0,0,IF(AND((ROW(T26)=MATCH(TRUE,($T$1:$T$41)&gt;0,0)),(D26="ND")),IF(T26&lt;3,T26,3),IF(AND(ROW(T26)=MATCH(TRUE,($T$1:$T$41)&gt;0,0),D26="ND12,5"),IF(T26&lt;2.5,T26,2.5),IF(D26="ND12,5",2.5,(T26-V26-W26)))))</f>
        <v>0</v>
      </c>
      <c r="V27" s="103">
        <f t="array" ref="V27">IF(T27=0,0,IF(AND((ROW(T27)=MATCH(TRUE,($T$1:$T$41)&gt;0,0)),(D27="ND")),IF(AND(T27&gt;11,T27&lt;=25),T27-11,0),IF(AND(ROW(T27)=MATCH(TRUE,($T$1:$T$41)&gt;0,0),D27="ND12,5"),IF(AND(T27&gt;10.5,T27&lt;=12.5),T27-10.5,0),IF(D27="ND12,5",2,IF(T27&lt;14,T27,14)))))</f>
        <v>0</v>
      </c>
      <c r="W27" s="103">
        <f t="array" ref="W27">IF(T27=0,0,IF(AND((ROW(T27)=MATCH(TRUE,($T$1:$T$41)&gt;0,0)),(D27="ND")),IF(AND(T27&gt;3,T27&lt;11),T27-3,IF(T27&gt;=11,8,0)),IF(AND((ROW(T27)=MATCH(TRUE,($T$1:$T$41)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IF(T27=0,0,IF((AND((ROW(T27)=MATCH(TRUE,($T$1:$T$41)&gt;0,0)))),IF(W27&gt;=6,W27-6,0),IF(W27&gt;=2,2,W27)))</f>
        <v>0</v>
      </c>
      <c r="Y27" s="242">
        <f t="array" ref="Y27">IF(T26=0,0,(IF((AND((ROW(T26)=MATCH(TRUE,($T$1:$T$41)&gt;0,0)))),IF(W26&gt;=6,6,W26),IF(W26&gt;=2,W26-2,0))))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46433</v>
      </c>
      <c r="C28" s="82">
        <f t="shared" si="4"/>
        <v>46433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$45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$45="Freizeit",(-M28-J28+IF(ISNUMBER(N28),(N28*1.5),0)+IF(ISNUMBER(O28),(O28*2),0)+IF(OR(E28="ND",E28="ND12,5"),2,0)),(-M28-J28)),IF($P$45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IF(T27=0,0,IF(AND((ROW(T27)=MATCH(TRUE,($T$1:$T$41)&gt;0,0)),(D27="ND")),IF(T27&lt;3,T27,3),IF(AND(ROW(T27)=MATCH(TRUE,($T$1:$T$41)&gt;0,0),D27="ND12,5"),IF(T27&lt;2.5,T27,2.5),IF(D27="ND12,5",2.5,(T27-V27-W27)))))</f>
        <v>0</v>
      </c>
      <c r="V28" s="103">
        <f t="array" ref="V28">IF(T28=0,0,IF(AND((ROW(T28)=MATCH(TRUE,($T$1:$T$41)&gt;0,0)),(D28="ND")),IF(AND(T28&gt;11,T28&lt;=25),T28-11,0),IF(AND(ROW(T28)=MATCH(TRUE,($T$1:$T$41)&gt;0,0),D28="ND12,5"),IF(AND(T28&gt;10.5,T28&lt;=12.5),T28-10.5,0),IF(D28="ND12,5",2,IF(T28&lt;14,T28,14)))))</f>
        <v>0</v>
      </c>
      <c r="W28" s="103">
        <f t="array" ref="W28">IF(T28=0,0,IF(AND((ROW(T28)=MATCH(TRUE,($T$1:$T$41)&gt;0,0)),(D28="ND")),IF(AND(T28&gt;3,T28&lt;11),T28-3,IF(T28&gt;=11,8,0)),IF(AND((ROW(T28)=MATCH(TRUE,($T$1:$T$41)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IF(T28=0,0,IF((AND((ROW(T28)=MATCH(TRUE,($T$1:$T$41)&gt;0,0)))),IF(W28&gt;=6,W28-6,0),IF(W28&gt;=2,2,W28)))</f>
        <v>0</v>
      </c>
      <c r="Y28" s="242">
        <f t="array" ref="Y28">IF(T27=0,0,(IF((AND((ROW(T27)=MATCH(TRUE,($T$1:$T$41)&gt;0,0)))),IF(W27&gt;=6,6,W27),IF(W27&gt;=2,W27-2,0))))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46434</v>
      </c>
      <c r="C29" s="82">
        <f t="shared" si="4"/>
        <v>46434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$45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$45="Freizeit",(-M29-J29+IF(ISNUMBER(N29),(N29*1.5),0)+IF(ISNUMBER(O29),(O29*2),0)+IF(OR(E29="ND",E29="ND12,5"),2,0)),(-M29-J29)),IF($P$45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IF(T28=0,0,IF(AND((ROW(T28)=MATCH(TRUE,($T$1:$T$41)&gt;0,0)),(D28="ND")),IF(T28&lt;3,T28,3),IF(AND(ROW(T28)=MATCH(TRUE,($T$1:$T$41)&gt;0,0),D28="ND12,5"),IF(T28&lt;2.5,T28,2.5),IF(D28="ND12,5",2.5,(T28-V28-W28)))))</f>
        <v>0</v>
      </c>
      <c r="V29" s="103">
        <f t="array" ref="V29">IF(T29=0,0,IF(AND((ROW(T29)=MATCH(TRUE,($T$1:$T$41)&gt;0,0)),(D29="ND")),IF(AND(T29&gt;11,T29&lt;=25),T29-11,0),IF(AND(ROW(T29)=MATCH(TRUE,($T$1:$T$41)&gt;0,0),D29="ND12,5"),IF(AND(T29&gt;10.5,T29&lt;=12.5),T29-10.5,0),IF(D29="ND12,5",2,IF(T29&lt;14,T29,14)))))</f>
        <v>0</v>
      </c>
      <c r="W29" s="103">
        <f t="array" ref="W29">IF(T29=0,0,IF(AND((ROW(T29)=MATCH(TRUE,($T$1:$T$41)&gt;0,0)),(D29="ND")),IF(AND(T29&gt;3,T29&lt;11),T29-3,IF(T29&gt;=11,8,0)),IF(AND((ROW(T29)=MATCH(TRUE,($T$1:$T$41)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IF(T29=0,0,IF((AND((ROW(T29)=MATCH(TRUE,($T$1:$T$41)&gt;0,0)))),IF(W29&gt;=6,W29-6,0),IF(W29&gt;=2,2,W29)))</f>
        <v>0</v>
      </c>
      <c r="Y29" s="242">
        <f t="array" ref="Y29">IF(T28=0,0,(IF((AND((ROW(T28)=MATCH(TRUE,($T$1:$T$41)&gt;0,0)))),IF(W28&gt;=6,6,W28),IF(W28&gt;=2,W28-2,0))))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46435</v>
      </c>
      <c r="C30" s="82">
        <f t="shared" si="4"/>
        <v>46435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$45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$45="Freizeit",(-M30-J30+IF(ISNUMBER(N30),(N30*1.5),0)+IF(ISNUMBER(O30),(O30*2),0)+IF(OR(E30="ND",E30="ND12,5"),2,0)),(-M30-J30)),IF($P$45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IF(T29=0,0,IF(AND((ROW(T29)=MATCH(TRUE,($T$1:$T$41)&gt;0,0)),(D29="ND")),IF(T29&lt;3,T29,3),IF(AND(ROW(T29)=MATCH(TRUE,($T$1:$T$41)&gt;0,0),D29="ND12,5"),IF(T29&lt;2.5,T29,2.5),IF(D29="ND12,5",2.5,(T29-V29-W29)))))</f>
        <v>0</v>
      </c>
      <c r="V30" s="103">
        <f t="array" ref="V30">IF(T30=0,0,IF(AND((ROW(T30)=MATCH(TRUE,($T$1:$T$41)&gt;0,0)),(D30="ND")),IF(AND(T30&gt;11,T30&lt;=25),T30-11,0),IF(AND(ROW(T30)=MATCH(TRUE,($T$1:$T$41)&gt;0,0),D30="ND12,5"),IF(AND(T30&gt;10.5,T30&lt;=12.5),T30-10.5,0),IF(D30="ND12,5",2,IF(T30&lt;14,T30,14)))))</f>
        <v>0</v>
      </c>
      <c r="W30" s="103">
        <f t="array" ref="W30">IF(T30=0,0,IF(AND((ROW(T30)=MATCH(TRUE,($T$1:$T$41)&gt;0,0)),(D30="ND")),IF(AND(T30&gt;3,T30&lt;11),T30-3,IF(T30&gt;=11,8,0)),IF(AND((ROW(T30)=MATCH(TRUE,($T$1:$T$41)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IF(T30=0,0,IF((AND((ROW(T30)=MATCH(TRUE,($T$1:$T$41)&gt;0,0)))),IF(W30&gt;=6,W30-6,0),IF(W30&gt;=2,2,W30)))</f>
        <v>0</v>
      </c>
      <c r="Y30" s="242">
        <f t="array" ref="Y30">IF(T29=0,0,(IF((AND((ROW(T29)=MATCH(TRUE,($T$1:$T$41)&gt;0,0)))),IF(W29&gt;=6,6,W29),IF(W29&gt;=2,W29-2,0))))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46436</v>
      </c>
      <c r="C31" s="82">
        <f t="shared" si="4"/>
        <v>46436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$45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$45="Freizeit",(-M31-J31+IF(ISNUMBER(N31),(N31*1.5),0)+IF(ISNUMBER(O31),(O31*2),0)+IF(OR(E31="ND",E31="ND12,5"),2,0)),(-M31-J31)),IF($P$45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IF(T30=0,0,IF(AND((ROW(T30)=MATCH(TRUE,($T$1:$T$41)&gt;0,0)),(D30="ND")),IF(T30&lt;3,T30,3),IF(AND(ROW(T30)=MATCH(TRUE,($T$1:$T$41)&gt;0,0),D30="ND12,5"),IF(T30&lt;2.5,T30,2.5),IF(D30="ND12,5",2.5,(T30-V30-W30)))))</f>
        <v>0</v>
      </c>
      <c r="V31" s="103">
        <f t="array" ref="V31">IF(T31=0,0,IF(AND((ROW(T31)=MATCH(TRUE,($T$1:$T$41)&gt;0,0)),(D31="ND")),IF(AND(T31&gt;11,T31&lt;=25),T31-11,0),IF(AND(ROW(T31)=MATCH(TRUE,($T$1:$T$41)&gt;0,0),D31="ND12,5"),IF(AND(T31&gt;10.5,T31&lt;=12.5),T31-10.5,0),IF(D31="ND12,5",2,IF(T31&lt;14,T31,14)))))</f>
        <v>0</v>
      </c>
      <c r="W31" s="103">
        <f t="array" ref="W31">IF(T31=0,0,IF(AND((ROW(T31)=MATCH(TRUE,($T$1:$T$41)&gt;0,0)),(D31="ND")),IF(AND(T31&gt;3,T31&lt;11),T31-3,IF(T31&gt;=11,8,0)),IF(AND((ROW(T31)=MATCH(TRUE,($T$1:$T$41)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IF(T31=0,0,IF((AND((ROW(T31)=MATCH(TRUE,($T$1:$T$41)&gt;0,0)))),IF(W31&gt;=6,W31-6,0),IF(W31&gt;=2,2,W31)))</f>
        <v>0</v>
      </c>
      <c r="Y31" s="242">
        <f t="array" ref="Y31">IF(T30=0,0,(IF((AND((ROW(T30)=MATCH(TRUE,($T$1:$T$41)&gt;0,0)))),IF(W30&gt;=6,6,W30),IF(W30&gt;=2,W30-2,0))))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46437</v>
      </c>
      <c r="C32" s="82">
        <f t="shared" si="4"/>
        <v>46437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$45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$45="Freizeit",(-M32-J32+IF(ISNUMBER(N32),(N32*1.5),0)+IF(ISNUMBER(O32),(O32*2),0)+IF(OR(E32="ND",E32="ND12,5"),2,0)),(-M32-J32)),IF($P$45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IF(T31=0,0,IF(AND((ROW(T31)=MATCH(TRUE,($T$1:$T$41)&gt;0,0)),(D31="ND")),IF(T31&lt;3,T31,3),IF(AND(ROW(T31)=MATCH(TRUE,($T$1:$T$41)&gt;0,0),D31="ND12,5"),IF(T31&lt;2.5,T31,2.5),IF(D31="ND12,5",2.5,(T31-V31-W31)))))</f>
        <v>0</v>
      </c>
      <c r="V32" s="103">
        <f t="array" ref="V32">IF(T32=0,0,IF(AND((ROW(T32)=MATCH(TRUE,($T$1:$T$41)&gt;0,0)),(D32="ND")),IF(AND(T32&gt;11,T32&lt;=25),T32-11,0),IF(AND(ROW(T32)=MATCH(TRUE,($T$1:$T$41)&gt;0,0),D32="ND12,5"),IF(AND(T32&gt;10.5,T32&lt;=12.5),T32-10.5,0),IF(D32="ND12,5",2,IF(T32&lt;14,T32,14)))))</f>
        <v>0</v>
      </c>
      <c r="W32" s="103">
        <f t="array" ref="W32">IF(T32=0,0,IF(AND((ROW(T32)=MATCH(TRUE,($T$1:$T$41)&gt;0,0)),(D32="ND")),IF(AND(T32&gt;3,T32&lt;11),T32-3,IF(T32&gt;=11,8,0)),IF(AND((ROW(T32)=MATCH(TRUE,($T$1:$T$41)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IF(T32=0,0,IF((AND((ROW(T32)=MATCH(TRUE,($T$1:$T$41)&gt;0,0)))),IF(W32&gt;=6,W32-6,0),IF(W32&gt;=2,2,W32)))</f>
        <v>0</v>
      </c>
      <c r="Y32" s="242">
        <f t="array" ref="Y32">IF(T31=0,0,(IF((AND((ROW(T31)=MATCH(TRUE,($T$1:$T$41)&gt;0,0)))),IF(W31&gt;=6,6,W31),IF(W31&gt;=2,W31-2,0))))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46438</v>
      </c>
      <c r="C33" s="82">
        <f t="shared" si="4"/>
        <v>46438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$45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$45="Freizeit",(-M33-J33+IF(ISNUMBER(N33),(N33*1.5),0)+IF(ISNUMBER(O33),(O33*2),0)+IF(OR(E33="ND",E33="ND12,5"),2,0)),(-M33-J33)),IF($P$45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IF(T32=0,0,IF(AND((ROW(T32)=MATCH(TRUE,($T$1:$T$41)&gt;0,0)),(D32="ND")),IF(T32&lt;3,T32,3),IF(AND(ROW(T32)=MATCH(TRUE,($T$1:$T$41)&gt;0,0),D32="ND12,5"),IF(T32&lt;2.5,T32,2.5),IF(D32="ND12,5",2.5,(T32-V32-W32)))))</f>
        <v>0</v>
      </c>
      <c r="V33" s="103">
        <f t="array" ref="V33">IF(T33=0,0,IF(AND((ROW(T33)=MATCH(TRUE,($T$1:$T$41)&gt;0,0)),(D33="ND")),IF(AND(T33&gt;11,T33&lt;=25),T33-11,0),IF(AND(ROW(T33)=MATCH(TRUE,($T$1:$T$41)&gt;0,0),D33="ND12,5"),IF(AND(T33&gt;10.5,T33&lt;=12.5),T33-10.5,0),IF(D33="ND12,5",2,IF(T33&lt;14,T33,14)))))</f>
        <v>0</v>
      </c>
      <c r="W33" s="103">
        <f t="array" ref="W33">IF(T33=0,0,IF(AND((ROW(T33)=MATCH(TRUE,($T$1:$T$41)&gt;0,0)),(D33="ND")),IF(AND(T33&gt;3,T33&lt;11),T33-3,IF(T33&gt;=11,8,0)),IF(AND((ROW(T33)=MATCH(TRUE,($T$1:$T$41)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IF(T33=0,0,IF((AND((ROW(T33)=MATCH(TRUE,($T$1:$T$41)&gt;0,0)))),IF(W33&gt;=6,W33-6,0),IF(W33&gt;=2,2,W33)))</f>
        <v>0</v>
      </c>
      <c r="Y33" s="242">
        <f t="array" ref="Y33">IF(T32=0,0,(IF((AND((ROW(T32)=MATCH(TRUE,($T$1:$T$41)&gt;0,0)))),IF(W32&gt;=6,6,W32),IF(W32&gt;=2,W32-2,0))))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46439</v>
      </c>
      <c r="C34" s="82">
        <f t="shared" si="4"/>
        <v>46439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>
        <f t="shared" si="3"/>
        <v>0</v>
      </c>
      <c r="P34" s="175">
        <f>IF(D34="",IF($P$45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$45="Freizeit",(-M34-J34+IF(ISNUMBER(N34),(N34*1.5),0)+IF(ISNUMBER(O34),(O34*2),0)+IF(OR(E34="ND",E34="ND12,5"),2,0)),(-M34-J34)),IF($P$45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IF(T33=0,0,IF(AND((ROW(T33)=MATCH(TRUE,($T$1:$T$41)&gt;0,0)),(D33="ND")),IF(T33&lt;3,T33,3),IF(AND(ROW(T33)=MATCH(TRUE,($T$1:$T$41)&gt;0,0),D33="ND12,5"),IF(T33&lt;2.5,T33,2.5),IF(D33="ND12,5",2.5,(T33-V33-W33)))))</f>
        <v>0</v>
      </c>
      <c r="V34" s="103">
        <f t="array" ref="V34">IF(T34=0,0,IF(AND((ROW(T34)=MATCH(TRUE,($T$1:$T$41)&gt;0,0)),(D34="ND")),IF(AND(T34&gt;11,T34&lt;=25),T34-11,0),IF(AND(ROW(T34)=MATCH(TRUE,($T$1:$T$41)&gt;0,0),D34="ND12,5"),IF(AND(T34&gt;10.5,T34&lt;=12.5),T34-10.5,0),IF(D34="ND12,5",2,IF(T34&lt;14,T34,14)))))</f>
        <v>0</v>
      </c>
      <c r="W34" s="103">
        <f t="array" ref="W34">IF(T34=0,0,IF(AND((ROW(T34)=MATCH(TRUE,($T$1:$T$41)&gt;0,0)),(D34="ND")),IF(AND(T34&gt;3,T34&lt;11),T34-3,IF(T34&gt;=11,8,0)),IF(AND((ROW(T34)=MATCH(TRUE,($T$1:$T$41)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IF(T34=0,0,IF((AND((ROW(T34)=MATCH(TRUE,($T$1:$T$41)&gt;0,0)))),IF(W34&gt;=6,W34-6,0),IF(W34&gt;=2,2,W34)))</f>
        <v>0</v>
      </c>
      <c r="Y34" s="242">
        <f t="array" ref="Y34">IF(T33=0,0,(IF((AND((ROW(T33)=MATCH(TRUE,($T$1:$T$41)&gt;0,0)))),IF(W33&gt;=6,6,W33),IF(W33&gt;=2,W33-2,0))))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46440</v>
      </c>
      <c r="C35" s="82">
        <f t="shared" si="4"/>
        <v>46440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$45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$45="Freizeit",(-M35-J35+IF(ISNUMBER(N35),(N35*1.5),0)+IF(ISNUMBER(O35),(O35*2),0)+IF(OR(E35="ND",E35="ND12,5"),2,0)),(-M35-J35)),IF($P$45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IF(T34=0,0,IF(AND((ROW(T34)=MATCH(TRUE,($T$1:$T$41)&gt;0,0)),(D34="ND")),IF(T34&lt;3,T34,3),IF(AND(ROW(T34)=MATCH(TRUE,($T$1:$T$41)&gt;0,0),D34="ND12,5"),IF(T34&lt;2.5,T34,2.5),IF(D34="ND12,5",2.5,(T34-V34-W34)))))</f>
        <v>0</v>
      </c>
      <c r="V35" s="103">
        <f t="array" ref="V35">IF(T35=0,0,IF(AND((ROW(T35)=MATCH(TRUE,($T$1:$T$41)&gt;0,0)),(D35="ND")),IF(AND(T35&gt;11,T35&lt;=25),T35-11,0),IF(AND(ROW(T35)=MATCH(TRUE,($T$1:$T$41)&gt;0,0),D35="ND12,5"),IF(AND(T35&gt;10.5,T35&lt;=12.5),T35-10.5,0),IF(D35="ND12,5",2,IF(T35&lt;14,T35,14)))))</f>
        <v>0</v>
      </c>
      <c r="W35" s="103">
        <f t="array" ref="W35">IF(T35=0,0,IF(AND((ROW(T35)=MATCH(TRUE,($T$1:$T$41)&gt;0,0)),(D35="ND")),IF(AND(T35&gt;3,T35&lt;11),T35-3,IF(T35&gt;=11,8,0)),IF(AND((ROW(T35)=MATCH(TRUE,($T$1:$T$41)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IF(T35=0,0,IF((AND((ROW(T35)=MATCH(TRUE,($T$1:$T$41)&gt;0,0)))),IF(W35&gt;=6,W35-6,0),IF(W35&gt;=2,2,W35)))</f>
        <v>0</v>
      </c>
      <c r="Y35" s="242">
        <f t="array" ref="Y35">IF(T34=0,0,(IF((AND((ROW(T34)=MATCH(TRUE,($T$1:$T$41)&gt;0,0)))),IF(W34&gt;=6,6,W34),IF(W34&gt;=2,W34-2,0))))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46441</v>
      </c>
      <c r="C36" s="82">
        <f t="shared" si="4"/>
        <v>46441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$45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$45="Freizeit",(-M36-J36+IF(ISNUMBER(N36),(N36*1.5),0)+IF(ISNUMBER(O36),(O36*2),0)+IF(OR(E36="ND",E36="ND12,5"),2,0)),(-M36-J36)),IF($P$45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IF(T35=0,0,IF(AND((ROW(T35)=MATCH(TRUE,($T$1:$T$41)&gt;0,0)),(D35="ND")),IF(T35&lt;3,T35,3),IF(AND(ROW(T35)=MATCH(TRUE,($T$1:$T$41)&gt;0,0),D35="ND12,5"),IF(T35&lt;2.5,T35,2.5),IF(D35="ND12,5",2.5,(T35-V35-W35)))))</f>
        <v>0</v>
      </c>
      <c r="V36" s="103">
        <f t="array" ref="V36">IF(T36=0,0,IF(AND((ROW(T36)=MATCH(TRUE,($T$1:$T$41)&gt;0,0)),(D36="ND")),IF(AND(T36&gt;11,T36&lt;=25),T36-11,0),IF(AND(ROW(T36)=MATCH(TRUE,($T$1:$T$41)&gt;0,0),D36="ND12,5"),IF(AND(T36&gt;10.5,T36&lt;=12.5),T36-10.5,0),IF(D36="ND12,5",2,IF(T36&lt;14,T36,14)))))</f>
        <v>0</v>
      </c>
      <c r="W36" s="103">
        <f t="array" ref="W36">IF(T36=0,0,IF(AND((ROW(T36)=MATCH(TRUE,($T$1:$T$41)&gt;0,0)),(D36="ND")),IF(AND(T36&gt;3,T36&lt;11),T36-3,IF(T36&gt;=11,8,0)),IF(AND((ROW(T36)=MATCH(TRUE,($T$1:$T$41)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IF(T36=0,0,IF((AND((ROW(T36)=MATCH(TRUE,($T$1:$T$41)&gt;0,0)))),IF(W36&gt;=6,W36-6,0),IF(W36&gt;=2,2,W36)))</f>
        <v>0</v>
      </c>
      <c r="Y36" s="242">
        <f t="array" ref="Y36">IF(T35=0,0,(IF((AND((ROW(T35)=MATCH(TRUE,($T$1:$T$41)&gt;0,0)))),IF(W35&gt;=6,6,W35),IF(W35&gt;=2,W35-2,0))))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46442</v>
      </c>
      <c r="C37" s="82">
        <f t="shared" si="4"/>
        <v>46442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$45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$45="Freizeit",(-M37-J37+IF(ISNUMBER(N37),(N37*1.5),0)+IF(ISNUMBER(O37),(O37*2),0)+IF(OR(E37="ND",E37="ND12,5"),2,0)),(-M37-J37)),IF($P$45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IF(T36=0,0,IF(AND((ROW(T36)=MATCH(TRUE,($T$1:$T$41)&gt;0,0)),(D36="ND")),IF(T36&lt;3,T36,3),IF(AND(ROW(T36)=MATCH(TRUE,($T$1:$T$41)&gt;0,0),D36="ND12,5"),IF(T36&lt;2.5,T36,2.5),IF(D36="ND12,5",2.5,(T36-V36-W36)))))</f>
        <v>0</v>
      </c>
      <c r="V37" s="103">
        <f t="array" ref="V37">IF(T37=0,0,IF(AND((ROW(T37)=MATCH(TRUE,($T$1:$T$41)&gt;0,0)),(D37="ND")),IF(AND(T37&gt;11,T37&lt;=25),T37-11,0),IF(AND(ROW(T37)=MATCH(TRUE,($T$1:$T$41)&gt;0,0),D37="ND12,5"),IF(AND(T37&gt;10.5,T37&lt;=12.5),T37-10.5,0),IF(D37="ND12,5",2,IF(T37&lt;14,T37,14)))))</f>
        <v>0</v>
      </c>
      <c r="W37" s="103">
        <f t="array" ref="W37">IF(T37=0,0,IF(AND((ROW(T37)=MATCH(TRUE,($T$1:$T$41)&gt;0,0)),(D37="ND")),IF(AND(T37&gt;3,T37&lt;11),T37-3,IF(T37&gt;=11,8,0)),IF(AND((ROW(T37)=MATCH(TRUE,($T$1:$T$41)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IF(T37=0,0,IF((AND((ROW(T37)=MATCH(TRUE,($T$1:$T$41)&gt;0,0)))),IF(W37&gt;=6,W37-6,0),IF(W37&gt;=2,2,W37)))</f>
        <v>0</v>
      </c>
      <c r="Y37" s="242">
        <f t="array" ref="Y37">IF(T36=0,0,(IF((AND((ROW(T36)=MATCH(TRUE,($T$1:$T$41)&gt;0,0)))),IF(W36&gt;=6,6,W36),IF(W36&gt;=2,W36-2,0))))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46443</v>
      </c>
      <c r="C38" s="82">
        <f t="shared" si="4"/>
        <v>46443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$45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$45="Freizeit",(-M38-J38+IF(ISNUMBER(N38),(N38*1.5),0)+IF(ISNUMBER(O38),(O38*2),0)+IF(OR(E38="ND",E38="ND12,5"),2,0)),(-M38-J38)),IF($P$45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IF(T37=0,0,IF(AND((ROW(T37)=MATCH(TRUE,($T$1:$T$41)&gt;0,0)),(D37="ND")),IF(T37&lt;3,T37,3),IF(AND(ROW(T37)=MATCH(TRUE,($T$1:$T$41)&gt;0,0),D37="ND12,5"),IF(T37&lt;2.5,T37,2.5),IF(D37="ND12,5",2.5,(T37-V37-W37)))))</f>
        <v>0</v>
      </c>
      <c r="V38" s="103">
        <f t="array" ref="V38">IF(T38=0,0,IF(AND((ROW(T38)=MATCH(TRUE,($T$1:$T$41)&gt;0,0)),(D38="ND")),IF(AND(T38&gt;11,T38&lt;=25),T38-11,0),IF(AND(ROW(T38)=MATCH(TRUE,($T$1:$T$41)&gt;0,0),D38="ND12,5"),IF(AND(T38&gt;10.5,T38&lt;=12.5),T38-10.5,0),IF(D38="ND12,5",2,IF(T38&lt;14,T38,14)))))</f>
        <v>0</v>
      </c>
      <c r="W38" s="103">
        <f t="array" ref="W38">IF(T38=0,0,IF(AND((ROW(T38)=MATCH(TRUE,($T$1:$T$41)&gt;0,0)),(D38="ND")),IF(AND(T38&gt;3,T38&lt;11),T38-3,IF(T38&gt;=11,8,0)),IF(AND((ROW(T38)=MATCH(TRUE,($T$1:$T$41)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IF(T38=0,0,IF((AND((ROW(T38)=MATCH(TRUE,($T$1:$T$41)&gt;0,0)))),IF(W38&gt;=6,W38-6,0),IF(W38&gt;=2,2,W38)))</f>
        <v>0</v>
      </c>
      <c r="Y38" s="242">
        <f t="array" ref="Y38">IF(T37=0,0,(IF((AND((ROW(T37)=MATCH(TRUE,($T$1:$T$41)&gt;0,0)))),IF(W37&gt;=6,6,W37),IF(W37&gt;=2,W37-2,0))))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46444</v>
      </c>
      <c r="C39" s="82">
        <f t="shared" si="4"/>
        <v>46444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$45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$45="Freizeit",(-M39-J39+IF(ISNUMBER(N39),(N39*1.5),0)+IF(ISNUMBER(O39),(O39*2),0)+IF(OR(E39="ND",E39="ND12,5"),2,0)),(-M39-J39)),IF($P$45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IF(T38=0,0,IF(AND((ROW(T38)=MATCH(TRUE,($T$1:$T$41)&gt;0,0)),(D38="ND")),IF(T38&lt;3,T38,3),IF(AND(ROW(T38)=MATCH(TRUE,($T$1:$T$41)&gt;0,0),D38="ND12,5"),IF(T38&lt;2.5,T38,2.5),IF(D38="ND12,5",2.5,(T38-V38-W38)))))</f>
        <v>0</v>
      </c>
      <c r="V39" s="103">
        <f t="array" ref="V39">IF(T39=0,0,IF(AND((ROW(T39)=MATCH(TRUE,($T$1:$T$41)&gt;0,0)),(D39="ND")),IF(AND(T39&gt;11,T39&lt;=25),T39-11,0),IF(AND(ROW(T39)=MATCH(TRUE,($T$1:$T$41)&gt;0,0),D39="ND12,5"),IF(AND(T39&gt;10.5,T39&lt;=12.5),T39-10.5,0),IF(D39="ND12,5",2,IF(T39&lt;14,T39,14)))))</f>
        <v>0</v>
      </c>
      <c r="W39" s="103">
        <f t="array" ref="W39">IF(T39=0,0,IF(AND((ROW(T39)=MATCH(TRUE,($T$1:$T$41)&gt;0,0)),(D39="ND")),IF(AND(T39&gt;3,T39&lt;11),T39-3,IF(T39&gt;=11,8,0)),IF(AND((ROW(T39)=MATCH(TRUE,($T$1:$T$41)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IF(T39=0,0,IF((AND((ROW(T39)=MATCH(TRUE,($T$1:$T$41)&gt;0,0)))),IF(W39&gt;=6,W39-6,0),IF(W39&gt;=2,2,W39)))</f>
        <v>0</v>
      </c>
      <c r="Y39" s="242">
        <f t="array" ref="Y39">IF(T38=0,0,(IF((AND((ROW(T38)=MATCH(TRUE,($T$1:$T$41)&gt;0,0)))),IF(W38&gt;=6,6,W38),IF(W38&gt;=2,W38-2,0))))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46445</v>
      </c>
      <c r="C40" s="82">
        <f t="shared" si="4"/>
        <v>46445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$45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$45="Freizeit",(-M40-J40+IF(ISNUMBER(N40),(N40*1.5),0)+IF(ISNUMBER(O40),(O40*2),0)+IF(OR(E40="ND",E40="ND12,5"),2,0)),(-M40-J40)),IF($P$45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IF(T39=0,0,IF(AND((ROW(T39)=MATCH(TRUE,($T$1:$T$41)&gt;0,0)),(D39="ND")),IF(T39&lt;3,T39,3),IF(AND(ROW(T39)=MATCH(TRUE,($T$1:$T$41)&gt;0,0),D39="ND12,5"),IF(T39&lt;2.5,T39,2.5),IF(D39="ND12,5",2.5,(T39-V39-W39)))))</f>
        <v>0</v>
      </c>
      <c r="V40" s="103">
        <f t="array" ref="V40">IF(T40=0,0,IF(AND((ROW(T40)=MATCH(TRUE,($T$1:$T$41)&gt;0,0)),(D40="ND")),IF(AND(T40&gt;11,T40&lt;=25),T40-11,0),IF(AND(ROW(T40)=MATCH(TRUE,($T$1:$T$41)&gt;0,0),D40="ND12,5"),IF(AND(T40&gt;10.5,T40&lt;=12.5),T40-10.5,0),IF(D40="ND12,5",2,IF(T40&lt;14,T40,14)))))</f>
        <v>0</v>
      </c>
      <c r="W40" s="103">
        <f t="array" ref="W40">IF(T40=0,0,IF(AND((ROW(T40)=MATCH(TRUE,($T$1:$T$41)&gt;0,0)),(D40="ND")),IF(AND(T40&gt;3,T40&lt;11),T40-3,IF(T40&gt;=11,8,0)),IF(AND((ROW(T40)=MATCH(TRUE,($T$1:$T$41)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IF(T40=0,0,IF((AND((ROW(T40)=MATCH(TRUE,($T$1:$T$41)&gt;0,0)))),IF(W40&gt;=6,W40-6,0),IF(W40&gt;=2,2,W40)))</f>
        <v>0</v>
      </c>
      <c r="Y40" s="242">
        <f t="array" ref="Y40">IF(T39=0,0,(IF((AND((ROW(T39)=MATCH(TRUE,($T$1:$T$41)&gt;0,0)))),IF(W39&gt;=6,6,W39),IF(W39&gt;=2,W39-2,0))))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46446</v>
      </c>
      <c r="C41" s="82">
        <f t="shared" si="4"/>
        <v>46446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IF(D41="","",IF(OR(E40="ND",E40="ND12,5",E41="ND12,5",E41="ZA",E41="NDG",E41="RG",E41="WR"),0+AE41,IF(OR(D41="U",D41="SU",D41="PK",D41="K",D41="KA"),VLOOKUP(D41,Datenblatt!$A$2:$C$31,2,FALSE),VLOOKUP(D41,Datenblatt!$A$2:$C$31,2,FALSE)-J41-L42)))</f>
        <v/>
      </c>
      <c r="M41" s="199" t="str">
        <f>IF(D41="","",IF(E40="ND",VLOOKUP(D41,Datenblatt!$A$2:$C$31,3,FALSE)-1,IF(E40="ND12,5",VLOOKUP(D41,Datenblatt!$A$2:$C$31,3,FALSE)-0.5,VLOOKUP(D41,Datenblatt!$A$2:$C$31,3,FALSE)-M42)))</f>
        <v/>
      </c>
      <c r="N41" s="200" t="str">
        <f t="shared" si="2"/>
        <v/>
      </c>
      <c r="O41" s="200">
        <f t="shared" si="3"/>
        <v>0</v>
      </c>
      <c r="P41" s="175">
        <f>IF(D41="",IF($P$45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$45="Freizeit",(-M41-J41+IF(ISNUMBER(N41),(N41*1.5),0)+IF(ISNUMBER(O41),(O41*2),0)+IF(OR(E41="ND",E41="ND12,5"),2,0)),(-M41-J41)),IF($P$45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9"/>
      <c r="T41" s="102">
        <f t="shared" si="5"/>
        <v>0</v>
      </c>
      <c r="U41" s="105">
        <f t="array" ref="U41">IF(T40=0,0,IF(AND((ROW(T40)=MATCH(TRUE,($T$1:$T$41)&gt;0,0)),(D40="ND")),IF(T40&lt;3,T40,3),IF(AND(ROW(T40)=MATCH(TRUE,($T$1:$T$41)&gt;0,0),D40="ND12,5"),IF(T40&lt;2.5,T40,2.5),IF(D40="ND12,5",2.5,(T40-V40-W40)))))</f>
        <v>0</v>
      </c>
      <c r="V41" s="103">
        <f t="array" ref="V41">IF(T41=0,0,IF(AND((ROW(T41)=MATCH(TRUE,($T$1:$T$41)&gt;0,0)),(D41="ND")),IF(AND(T41&gt;11,T41&lt;=25),T41-11,0),IF(AND(ROW(T41)=MATCH(TRUE,($T$1:$T$41)&gt;0,0),D41="ND12,5"),IF(AND(T41&gt;10.5,T41&lt;=12.5),T41-10.5,0),IF(D41="ND12,5",2,IF(T41&lt;14,T41,14)))))</f>
        <v>0</v>
      </c>
      <c r="W41" s="103">
        <f t="array" ref="W41">IF(T41=0,0,IF(AND((ROW(T41)=MATCH(TRUE,($T$1:$T$41)&gt;0,0)),(D41="ND")),IF(T41&gt;=2,2,T41),IF(AND((ROW(T41)=MATCH(TRUE,($T$1:$T$41)&gt;0,0)),(D41="ND12,5")),IF(T41&gt;=2,2,T41),IF(D41="ND12,5",2,IF(AND(T41&gt;14,T41&lt;22),(T41-V41),IF(T41&gt;=22,8,0))))))</f>
        <v>0</v>
      </c>
      <c r="X41" s="242">
        <f t="array" ref="X41">IF(T41=0,0,IF((AND((ROW(T41)=MATCH(TRUE,($T$1:$T$41)&gt;0,0)))),IF(W41&gt;=6,W41-6,0),IF(W41&gt;=2,2,W41)))</f>
        <v>0</v>
      </c>
      <c r="Y41" s="242">
        <f t="array" ref="Y41">IF(T40=0,0,(IF((AND((ROW(T40)=MATCH(TRUE,($T$1:$T$41)&gt;0,0)))),IF(W40&gt;=6,6,W40),IF(W40&gt;=2,W40-2,0))))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 thickBot="1">
      <c r="A42" s="216" t="str">
        <f>IF(ISERROR(VLOOKUP(C42,Datenblatt!$B$84:$B$97,1,FALSE)),"","Ft")</f>
        <v/>
      </c>
      <c r="B42" s="143"/>
      <c r="C42" s="140"/>
      <c r="D42" s="140"/>
      <c r="E42" s="140"/>
      <c r="F42" s="140"/>
      <c r="G42" s="140"/>
      <c r="H42" s="140"/>
      <c r="I42" s="140"/>
      <c r="J42" s="144">
        <f>SUM(J14:J41)</f>
        <v>0</v>
      </c>
      <c r="K42" s="202">
        <f>SUM(K14:K41)</f>
        <v>0</v>
      </c>
      <c r="L42" s="162" t="str">
        <f>IF(D41="ND",9,IF(D41="ND12,5",8.5,"0"))</f>
        <v>0</v>
      </c>
      <c r="M42" s="162" t="str">
        <f>IF(D41="ND",9,IF(D41="ND12,5",8.5,"0"))</f>
        <v>0</v>
      </c>
      <c r="N42" s="208">
        <f t="shared" ref="N42:O42" si="12">SUM(N14:N41)</f>
        <v>0</v>
      </c>
      <c r="O42" s="209">
        <f t="shared" si="12"/>
        <v>0</v>
      </c>
      <c r="P42" s="186">
        <f>SUM(P14:P41)</f>
        <v>0</v>
      </c>
      <c r="Q42" s="187"/>
      <c r="R42" s="146"/>
      <c r="S42" s="147"/>
      <c r="T42" s="145"/>
      <c r="U42" s="106"/>
      <c r="V42" s="107"/>
      <c r="W42" s="107"/>
      <c r="X42" s="107"/>
      <c r="Y42" s="107"/>
      <c r="Z42" s="145"/>
      <c r="AA42" s="204"/>
      <c r="AB42" s="204"/>
      <c r="AC42" s="204"/>
      <c r="AD42" s="204"/>
      <c r="AE42" s="204"/>
      <c r="AF42" s="204"/>
      <c r="AG42" s="204"/>
      <c r="AH42" s="204"/>
    </row>
    <row r="43" spans="1:34" s="77" customFormat="1" ht="0.75" customHeight="1" thickBot="1">
      <c r="A43" s="419"/>
      <c r="B43" s="67"/>
      <c r="C43" s="68"/>
      <c r="D43" s="69"/>
      <c r="E43" s="94"/>
      <c r="F43" s="70"/>
      <c r="G43" s="71"/>
      <c r="H43" s="72"/>
      <c r="I43" s="71"/>
      <c r="J43" s="73"/>
      <c r="K43" s="87"/>
      <c r="L43" s="72"/>
      <c r="M43" s="74"/>
      <c r="N43" s="74"/>
      <c r="O43" s="75"/>
      <c r="P43" s="76"/>
      <c r="Q43" s="71"/>
      <c r="R43" s="67"/>
      <c r="T43" s="108"/>
      <c r="U43" s="108"/>
      <c r="V43" s="108"/>
      <c r="W43" s="108"/>
      <c r="X43" s="108"/>
      <c r="Y43" s="108"/>
      <c r="Z43" s="176"/>
      <c r="AA43" s="205"/>
      <c r="AB43" s="205"/>
      <c r="AC43" s="205"/>
      <c r="AD43" s="205"/>
      <c r="AE43" s="205"/>
      <c r="AF43" s="205"/>
      <c r="AG43" s="205"/>
      <c r="AH43" s="205"/>
    </row>
    <row r="44" spans="1:34" s="63" customFormat="1">
      <c r="A44" s="216"/>
      <c r="B44" s="158" t="s">
        <v>146</v>
      </c>
      <c r="C44" s="158"/>
      <c r="D44" s="56"/>
      <c r="E44" s="56"/>
      <c r="F44" s="54"/>
      <c r="G44" s="54"/>
      <c r="H44" s="54"/>
      <c r="I44" s="239"/>
      <c r="J44" s="239"/>
      <c r="K44" s="239"/>
      <c r="L44" s="608" t="s">
        <v>288</v>
      </c>
      <c r="M44" s="608"/>
      <c r="N44" s="608"/>
      <c r="O44" s="609"/>
      <c r="P44" s="190" t="s">
        <v>145</v>
      </c>
      <c r="Q44" s="315">
        <f>IF($P$44="ja",SUMPRODUCT((WEEKDAY($B$14:$B$41,2)=1)*2),0)</f>
        <v>0</v>
      </c>
      <c r="R44" s="148"/>
      <c r="S44" s="161"/>
      <c r="T44" s="109"/>
      <c r="U44" s="109"/>
      <c r="V44" s="109"/>
      <c r="W44" s="109"/>
      <c r="X44" s="109"/>
      <c r="Y44" s="109"/>
      <c r="Z44" s="177"/>
      <c r="AA44" s="206"/>
      <c r="AB44" s="206"/>
      <c r="AC44" s="206"/>
      <c r="AD44" s="206"/>
      <c r="AE44" s="206"/>
      <c r="AF44" s="206"/>
      <c r="AG44" s="206"/>
      <c r="AH44" s="206"/>
    </row>
    <row r="45" spans="1:34" s="63" customFormat="1">
      <c r="A45" s="216"/>
      <c r="B45" s="180" t="str">
        <f>"Verrechnung von Sonderzahlungen, Überstunden, Nachtgutstunden und Nachtdiensten erfolgt im Folgemonat"&amp;" "&amp;Start!$B$17</f>
        <v>Verrechnung von Sonderzahlungen, Überstunden, Nachtgutstunden und Nachtdiensten erfolgt im Folgemonat März</v>
      </c>
      <c r="C45" s="158"/>
      <c r="D45" s="56"/>
      <c r="E45" s="56"/>
      <c r="F45" s="54"/>
      <c r="G45" s="54"/>
      <c r="H45" s="78"/>
      <c r="I45" s="78"/>
      <c r="J45" s="79"/>
      <c r="K45" s="79"/>
      <c r="L45" s="606" t="s">
        <v>289</v>
      </c>
      <c r="M45" s="606"/>
      <c r="N45" s="606"/>
      <c r="O45" s="607"/>
      <c r="P45" s="193" t="s">
        <v>291</v>
      </c>
      <c r="Q45" s="314" t="str">
        <f>IF($P$45="Freizeit","       als Gutstunden abgerechnet","       im Folgemonat ausbezahlt")</f>
        <v xml:space="preserve">       als Gutstunden abgerechnet</v>
      </c>
      <c r="R45" s="192"/>
      <c r="S45" s="181"/>
      <c r="T45" s="109"/>
      <c r="U45" s="109"/>
      <c r="V45" s="109"/>
      <c r="W45" s="109"/>
      <c r="X45" s="109"/>
      <c r="Y45" s="109"/>
      <c r="Z45" s="177"/>
      <c r="AA45" s="206"/>
      <c r="AB45" s="206"/>
      <c r="AC45" s="206"/>
      <c r="AD45" s="206"/>
      <c r="AE45" s="206"/>
      <c r="AF45" s="231"/>
      <c r="AG45" s="231"/>
      <c r="AH45" s="276"/>
    </row>
    <row r="47" spans="1:34" ht="15" thickBot="1"/>
    <row r="48" spans="1:34" ht="15" hidden="1" thickBot="1"/>
    <row r="49" spans="2:34" ht="15" hidden="1" thickBot="1"/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"&amp;Start!$B$28</f>
        <v>Monatsprofil Februar.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COUNTIF($D$14:$E$41,"U")-COUNTIFS($D$14:$D$41,"U",$E$14:$E$41,"K")-COUNTIFS($D$14:$D$41,"U",$E$14:$E$41,"PK")</f>
        <v>0</v>
      </c>
      <c r="C51" s="403" t="s">
        <v>18</v>
      </c>
      <c r="D51" s="404">
        <f>SUMIFS($P$14:$P$41,$D$14:$D$41,"U")+SUMIFS($P$14:$P$41,$E$14:$E$41,"U")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IF(OR(Start!$D$8=Gehalt!$K$37,Start!$D$8=Gehalt!$K$39,Start!$D$8=Gehalt!$K$41),Gehalt!$P$29,0)</f>
        <v>0</v>
      </c>
      <c r="N51" s="543"/>
      <c r="O51" s="544"/>
      <c r="P51" s="545"/>
      <c r="T51" s="253" t="s">
        <v>392</v>
      </c>
      <c r="U51" s="110">
        <f>SUMPRODUCT(($U$14:$U$41)*(ISNUMBER(FIND("Ft",$A$14:$A$41))))+SUMPRODUCT((($U$14:$U$41)*1)*(WEEKDAY($B$14:$B$41,2)=7))-SUMPRODUCT((($U$14:$U$41)*1)*(WEEKDAY($B$14:$B$41,2)=7)*(ISNUMBER(FIND("Ft",$A$14:$A$41))))</f>
        <v>0</v>
      </c>
      <c r="V51" s="110">
        <f>SUMPRODUCT(($V$14:$V$41)*(ISNUMBER(FIND("Ft",$A$14:$A$41))))+SUMPRODUCT((($V$14:$V$41)*1)*(WEEKDAY($B$14:$B$41,2)=7))-SUMPRODUCT((($V$14:$V$41)*1)*(WEEKDAY($B$14:$B$41,2)=7)*(ISNUMBER(FIND("Ft",$A$14:$A$41))))</f>
        <v>0</v>
      </c>
      <c r="W51" s="110">
        <f>SUM($W$14:$W$41)</f>
        <v>0</v>
      </c>
      <c r="X51" s="438"/>
      <c r="Y51" s="439"/>
      <c r="Z51" s="253" t="s">
        <v>392</v>
      </c>
      <c r="AA51" s="203">
        <f>SUMPRODUCT(($AA$14:$AA$41)*(ISNUMBER(FIND("Ft",$A$14:$A$41))))+SUMPRODUCT((($AA$14:$AA$41)*1)*(WEEKDAY($B$14:$B$41,2)=7))-SUMPRODUCT((($AA$14:$AA$41)*1)*(WEEKDAY($B$14:$B$41,2)=7)*(ISNUMBER(FIND("Ft",$A$14:$A$41))))</f>
        <v>0</v>
      </c>
      <c r="AB51" s="203">
        <f>SUMPRODUCT(($AB$14:$AB$41)*(ISNUMBER(FIND("Ft",$A$14:$A$41))))+SUMPRODUCT((($AB$14:$AB$41)*1)*(WEEKDAY($B$14:$B$41,2)=7))-SUMPRODUCT((($AB$14:$AB$41)*1)*(WEEKDAY($B$14:$B$41,2)=7)*(ISNUMBER(FIND("Ft",$A$14:$A$41))))</f>
        <v>0</v>
      </c>
      <c r="AC51" s="203">
        <f>SUM($AC$14:$AC$41)</f>
        <v>0</v>
      </c>
      <c r="AD51" s="203">
        <f>SUM($AD$14:$AD$41)</f>
        <v>0</v>
      </c>
      <c r="AE51" s="206"/>
      <c r="AF51" s="177"/>
      <c r="AG51" s="253" t="s">
        <v>392</v>
      </c>
      <c r="AH51" s="203">
        <f>SUMPRODUCT(($AH$14:$AH$41)*(ISNUMBER(FIND("Ft",$A$14:$A$41))))+SUMPRODUCT((($AH$14:$AH$41)*1)*(WEEKDAY($B$14:$B$41,2)=7))-SUMPRODUCT((($AH$14:$AH$41)*1)*(WEEKDAY($B$14:$B$41,2)=7)*(ISNUMBER(FIND("Ft",$A$14:$A$41))))</f>
        <v>0</v>
      </c>
    </row>
    <row r="52" spans="2:34" s="84" customFormat="1" ht="13" customHeight="1">
      <c r="B52" s="321">
        <f>COUNTIF($D$14:$E$41,"ZA")-COUNTIFS($D$14:$D$41,"ZA",$E$14:$E$41,"K")-COUNTIFS($D$14:$D$41,"ZA",$E$14:$E$41,"PK")</f>
        <v>0</v>
      </c>
      <c r="C52" s="403" t="s">
        <v>21</v>
      </c>
      <c r="D52" s="406">
        <f>SUMIFS($P$14:$P$41,$D$14:$D$41,"ZA")+SUMIFS($P$14:$P$41,$E$14:$E$41,"ZA")-$J$42</f>
        <v>0</v>
      </c>
      <c r="E52" s="407">
        <f>IF($P$45="Freizeit",SUM($N$42*1.5,$O$42*2),0)+$J$54*1.5</f>
        <v>0</v>
      </c>
      <c r="G52" s="295" t="str">
        <f>"9545 Nachtdienstpauschale Gesamt ("&amp;""&amp;Gehalt!$P$25&amp;""&amp;"€/h)"</f>
        <v>9545 Nachtdienstpauschale Gesamt (31,48€/h)</v>
      </c>
      <c r="H52" s="141"/>
      <c r="I52" s="141"/>
      <c r="J52" s="141"/>
      <c r="K52" s="245">
        <f>SUM($AF$14:$AG$41)</f>
        <v>0</v>
      </c>
      <c r="L52" s="215">
        <f>$K$52*Gehalt!$P$25</f>
        <v>0</v>
      </c>
      <c r="N52" s="538" t="s">
        <v>236</v>
      </c>
      <c r="O52" s="539"/>
      <c r="P52" s="318">
        <f>VLOOKUP($B$8,Datenblatt!$A$100:$I$128,2,FALSE)</f>
        <v>28</v>
      </c>
      <c r="T52" s="254" t="s">
        <v>103</v>
      </c>
      <c r="U52" s="249">
        <f>SUM($U$14:$U$41)-$U$51</f>
        <v>0</v>
      </c>
      <c r="V52" s="249">
        <f>SUM($V$14:$V$41)-$V$51</f>
        <v>0</v>
      </c>
      <c r="W52" s="441"/>
      <c r="X52" s="440"/>
      <c r="Y52" s="439"/>
      <c r="Z52" s="255" t="s">
        <v>103</v>
      </c>
      <c r="AA52" s="203">
        <f>SUM($AA$14:$AA$41)-$AA$51</f>
        <v>0</v>
      </c>
      <c r="AB52" s="203">
        <f>SUM($AB$14:$AB$41)-$AB$51</f>
        <v>0</v>
      </c>
      <c r="AC52" s="437"/>
      <c r="AD52" s="204"/>
      <c r="AE52" s="206"/>
      <c r="AF52" s="177"/>
      <c r="AG52" s="255" t="s">
        <v>103</v>
      </c>
      <c r="AH52" s="203">
        <f>SUM($AH$14:$AH$41)-$AH$51</f>
        <v>0</v>
      </c>
    </row>
    <row r="53" spans="2:34" s="84" customFormat="1" ht="13" customHeight="1">
      <c r="B53" s="321">
        <f>COUNTIF($D$14:$E$41,"RG")-COUNTIFS($D$14:$D$41,"U",$E$14:$E$41,"RG")-COUNTIFS($D$14:$D$41,"RG",$E$14:$E$41,"PK")</f>
        <v>0</v>
      </c>
      <c r="C53" s="325" t="s">
        <v>131</v>
      </c>
      <c r="D53" s="404">
        <f>SUMIFS($P$14:$P$41,$D$14:$D$41,"RG")+SUMIFS($P$14:$P$41,$E$14:$E$41,"RG")</f>
        <v>0</v>
      </c>
      <c r="E53" s="408">
        <f>$Q$44</f>
        <v>0</v>
      </c>
      <c r="G53" s="295" t="str">
        <f>"9547 Sonn- und Feiertagszulage ("&amp;""&amp;Gehalt!$P$26&amp;""&amp;"€/h)"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$K$53*Gehalt!$P$26</f>
        <v>0</v>
      </c>
      <c r="N53" s="538" t="s">
        <v>237</v>
      </c>
      <c r="O53" s="539"/>
      <c r="P53" s="318">
        <f>VLOOKUP($B$8,Datenblatt!$A$100:$I$128,3,FALSE)</f>
        <v>0</v>
      </c>
      <c r="T53" s="252" t="s">
        <v>393</v>
      </c>
      <c r="U53" s="103">
        <f>SUMPRODUCT(($U$14:$U$41)*(ISNUMBER(FIND("Ft",$A$14:$A$41))))+SUMPRODUCT((($U$14:$U$41)*1)*(WEEKDAY($B$14:$B$41,2)=7))-SUMPRODUCT((($U$14:$U$41)*1)*(WEEKDAY($B$14:$B$41,2)=7)*(ISNUMBER(FIND("Ft",$A$14:$A$41))))</f>
        <v>0</v>
      </c>
      <c r="V53" s="103">
        <f>SUMPRODUCT(($V$14:$V$41)*(ISNUMBER(FIND("Ft",$A$14:$A$41))))+SUMPRODUCT((($V$14:$V$41)*1)*(WEEKDAY($B$14:$B$41,2)=7))-SUMPRODUCT((($V$14:$V$41)*1)*(WEEKDAY($B$14:$B$41,2)=7)*(ISNUMBER(FIND("Ft",$A$14:$A$41))))+IF(SUMIFS($V$14:$V$41,$A$14:$A$41,"HFt")&gt;8,8,(SUMIFS($V$14:$V$41,$A$14:$A$41,"HFt")))</f>
        <v>0</v>
      </c>
      <c r="W53" s="442"/>
      <c r="X53" s="103">
        <f>SUMPRODUCT(($X$14:$X$41)*(ISNUMBER(FIND("Ft",$A$14:$A$41))))+SUMPRODUCT((($X$14:$X$41)*1)*(WEEKDAY($B$14:$B$41,2)=7))-SUMPRODUCT((($X$14:$X$41)*1)*(WEEKDAY($B$14:$B$41,2)=7)*(ISNUMBER(FIND("Ft",$A$14:$A$41))))+IF(SUMIFS($X$14:$X$41,$A$14:$A$41,"HFt")&gt;2,2,(SUMIFS($X$14:$X$41,$A$14:$A$41,"HFt")))</f>
        <v>0</v>
      </c>
      <c r="Y53" s="103">
        <f>SUMPRODUCT(($Y$14:$Y$41)*(ISNUMBER(FIND("Ft",$A$14:$A$41))))+SUMPRODUCT((($Y$14:$Y$41)*1)*(WEEKDAY($B$14:$B$41,2)=7))-SUMPRODUCT((($Y$14:$Y$41)*1)*(WEEKDAY($B$14:$B$41,2)=7)*(ISNUMBER(FIND("Ft",$A$14:$A$41))))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COUNTIF($D$14:$E$41,"NDG")-COUNTIFS($D$14:$D$41,"NDG",$E$14:$E$41,"K")-COUNTIFS($D$14:$D$41,"NDG",$E$14:$E$41,"PK")</f>
        <v>0</v>
      </c>
      <c r="C54" s="325" t="s">
        <v>130</v>
      </c>
      <c r="D54" s="404">
        <f>SUMIFS($P$14:$P$41,$D$14:$D$41,"NDG")+SUMIFS($P$14:$P$41,$E$14:$E$41,"NDG")</f>
        <v>0</v>
      </c>
      <c r="E54" s="408">
        <f>$N$6*2-COUNTIFS($D$14:$D$41,"ND",$E$14:$E$41,"K")*2-COUNTIFS($D$14:$D$41,"ND12,5",$E$14:$E$41,"K")*2-COUNTIFS($D$14:$D$41,"ND",$E$13:$E$40,"ND")*2-COUNTIFS($D$14:$D$41,"ND12,5",$E$13:$E$40,"ND")*2-COUNTIFS($D$14:$D$41,"ND",$E$13:$E$40,"ND12,5")*2</f>
        <v>0</v>
      </c>
      <c r="G54" s="535" t="s">
        <v>294</v>
      </c>
      <c r="H54" s="536"/>
      <c r="I54" s="537"/>
      <c r="J54" s="356">
        <v>0</v>
      </c>
      <c r="K54" s="214">
        <f>IF($P$45="finanziell",SUM($L$62),0)+$L$66+$L$70-$J$54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VLOOKUP($B$8,Datenblatt!$A$100:$I$128,4,FALSE)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SUMIFS($M$14:$M$41,$D$14:$D$41,"U")</f>
        <v>0</v>
      </c>
      <c r="E55" s="405"/>
      <c r="G55" s="295" t="s">
        <v>226</v>
      </c>
      <c r="H55" s="141"/>
      <c r="I55" s="141"/>
      <c r="J55" s="141"/>
      <c r="K55" s="214">
        <f>IF($P$45="finanziell",SUM($L$63),0)+$L$71+$L$67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VLOOKUP($B$8,Datenblatt!$A$100:$I$128,5,FALSE)</f>
        <v>20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COUNTIF($D$14:$E$41,"SU")-COUNTIFS($D$14:$D$41,"SU",$E$14:$E$41,"K")-COUNTIFS($D$14:$D$41,"SU",$E$14:$E$41,"PK")</f>
        <v>0</v>
      </c>
      <c r="C56" s="325" t="s">
        <v>171</v>
      </c>
      <c r="D56" s="404">
        <f>SUMIFS($M$14:$M$41,$D$14:$D$41,"SU")</f>
        <v>0</v>
      </c>
      <c r="E56" s="405"/>
      <c r="G56" s="295" t="s">
        <v>284</v>
      </c>
      <c r="H56" s="141"/>
      <c r="I56" s="141"/>
      <c r="J56" s="141"/>
      <c r="K56" s="360">
        <f ca="1">IF(Jänner.!$P$63-SUM(Start!$E$23:$E$28)*2&lt;=0,0,Jänner.!$P$63-SUM(Start!$E$23:$E$28)*2)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VLOOKUP($B$8,Datenblatt!$A$100:$I$128,7,FALSE)</f>
        <v>20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COUNTIF($D$14:$E$41,"PK")</f>
        <v>0</v>
      </c>
      <c r="C57" s="325" t="s">
        <v>170</v>
      </c>
      <c r="D57" s="404">
        <f>SUMIFS($M$14:$M$41,$D$14:$D$41,"PK")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IF(OR(Start!$D$8=Gehalt!$K$37,Start!$D$8=Gehalt!$K$39,Start!$D$8=Gehalt!$K$41),SUMIFS($M$14:$M$41,$Q$14:$Q$41,"=Tagdienst*",$E$14:$E$41,"&lt;&gt;*")+SUMIFS($AH$14:$AH$41,$R$14:$R$41,"=Tagdienst*"),0)</f>
        <v>0</v>
      </c>
      <c r="L57" s="215">
        <f>$K$57*Gehalt!$P$28</f>
        <v>0</v>
      </c>
      <c r="N57" s="538" t="s">
        <v>235</v>
      </c>
      <c r="O57" s="539"/>
      <c r="P57" s="318">
        <f>VLOOKUP($B$8,Datenblatt!$A$100:$I$128,6,FALSE)</f>
        <v>160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COUNTIF($D$14:$E$41,"K")+COUNTIF($D$14:$E$41,"KA")</f>
        <v>0</v>
      </c>
      <c r="C58" s="325" t="s">
        <v>412</v>
      </c>
      <c r="D58" s="404">
        <f>SUMIFS($M$14:$M$41,$D$14:$D$41,"K")+SUMIFS($M$14:$M$41,$D$14:$D$41,"KA")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IF($J$58="ja",Gehalt!$P$27,0)</f>
        <v>0</v>
      </c>
      <c r="N58" s="546" t="str">
        <f>"Stundenkonto Monatsende"&amp;" "&amp;Start!$B$28</f>
        <v>Stundenkonto Monatsende Februar.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COUNTIF($L$14:$L$41,"n.b.")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COUNTIF($D$14:$E$41,"DV")</f>
        <v>0</v>
      </c>
      <c r="C60" s="325" t="s">
        <v>110</v>
      </c>
      <c r="D60" s="404">
        <f>SUMIFS($P$14:$P$41,$D$14:$D$41,"DV")+SUMIFS($P$14:$P$41,$E$14:$E$41,"DV")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Start!$C$32+SUM(Jänner:Februar.!$D$51)+Jänner.!$P$65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COUNTIF($D$14:$E$41,"WR")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Start!$C$33+SUM(Jänner:Februar.!$D$52)+SUM(Jänner:Februar.!$E$52)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SUM($N$14:$N$41)</f>
        <v>0</v>
      </c>
      <c r="M62" s="84"/>
      <c r="N62" s="538" t="s">
        <v>147</v>
      </c>
      <c r="O62" s="539"/>
      <c r="P62" s="318">
        <f>Start!$C$34+SUM(Jänner:Februar.!$D$53)+SUM(Jänner:Februar.!$E$53)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SUM($O$14:$O$41)</f>
        <v>0</v>
      </c>
      <c r="M63" s="84"/>
      <c r="N63" s="610" t="s">
        <v>165</v>
      </c>
      <c r="O63" s="611"/>
      <c r="P63" s="320">
        <f ca="1">Start!$C$35+SUM(Jänner:Februar.!$D$54)+SUM(Jänner:Februar.!$E$54)-SUM(Jänner:Februar.!$K$56)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3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</row>
    <row r="66" spans="3:13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</row>
    <row r="67" spans="3:13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</row>
    <row r="68" spans="3:13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</row>
    <row r="69" spans="3:13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</row>
    <row r="70" spans="3:13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</row>
    <row r="71" spans="3:13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</row>
    <row r="72" spans="3:13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</row>
    <row r="73" spans="3:13" s="56" customFormat="1" ht="13" customHeight="1">
      <c r="D73" s="130"/>
      <c r="G73" s="340" t="s">
        <v>98</v>
      </c>
      <c r="H73" s="248"/>
      <c r="I73" s="344"/>
      <c r="J73" s="344"/>
      <c r="K73" s="344"/>
      <c r="L73" s="345">
        <f>$L$71*$L$61</f>
        <v>0</v>
      </c>
    </row>
    <row r="74" spans="3:13" s="56" customFormat="1" ht="13" customHeight="1">
      <c r="D74" s="130"/>
      <c r="G74" s="354" t="s">
        <v>287</v>
      </c>
      <c r="H74" s="352"/>
      <c r="I74" s="151"/>
      <c r="J74" s="151"/>
      <c r="K74" s="151"/>
      <c r="L74" s="353">
        <f>VLOOKUP($B$8,Datenblatt!$A$100:$F$123,6,FALSE)-SUM($D$55:$D$58)</f>
        <v>160</v>
      </c>
    </row>
    <row r="75" spans="3:13" s="56" customFormat="1" ht="13" customHeight="1">
      <c r="D75" s="130"/>
    </row>
    <row r="76" spans="3:13" s="56" customFormat="1" ht="13" customHeight="1"/>
    <row r="77" spans="3:13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3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SUMPRODUCT((WEEKDAY($B$13:$B$40,2)=6)*($D$13:$D$40="ND"))-SUMPRODUCT((WEEKDAY($B$13:$B$40,2)=6)*($D$13:$D$40="ND")*($A$13:$A$40="Ft"))</f>
        <v>0</v>
      </c>
    </row>
    <row r="79" spans="3:13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SUMPRODUCT((WEEKDAY($B$14:$B$41,2)=7)*($D$14:$D$41="ND"))-SUMPRODUCT((WEEKDAY($B$14:$B$41,2)=7)*($D$14:$D$41="ND")*($A$14:$A$41="Ft"))</f>
        <v>0</v>
      </c>
    </row>
    <row r="80" spans="3:13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SUMPRODUCT(($D$14:$D$41="ND")*($A$14:$A$41="Ft"))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SUMPRODUCT((WEEKDAY($C$13:$C$40,2)=7)*($D$13:$D$40="ND")*($A$14:$A$41="Ft"))-SUMPRODUCT((WEEKDAY($C$13:$C$40,2)=7)*($D$13:$D$40="ND")*($A$13:$A$40="Ft")*($A$14:$A$41="Ft"))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SUMPRODUCT(($A$13:$A$40="Ft")*($D$13:$D$40="ND")*($A$14:$A$41="Ft"))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SUMPRODUCT(($A$13:$A$40="Ft")*(WEEKDAY($C$14:$C$41,2)=7)*($D$13:$D$40="ND"))-SUMPRODUCT(($A$13:$A$40="Ft")*($A$14:$A$41="Ft")*(WEEKDAY($C$14:$C$41,2)=7)*($D$13:$D$40="ND"))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SUMPRODUCT(($A$14:$A$41="Ft")*(WEEKDAY($C$13:$C$40,2)&lt;6)*($D$13:$D$40="ND"))-(SUMPRODUCT(($A$14:$A$41="Ft")*($A$13:$A$40="Ft")*(WEEKDAY($C$13:$C$40,2)&lt;6)*($D$13:$D$40="ND")))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SUMPRODUCT((WEEKDAY($B$14:$B$41,2)=7)*($D$14:$D$41="TD"))+SUMPRODUCT(($D$14:$D$41="TD")*($A$14:$A$41="Ft"))-SUMPRODUCT((WEEKDAY($B$14:$B$41,2)=7)*($D$14:$D$41="TD")*($A$14:$A$41="Ft"))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SUMPRODUCT((WEEKDAY($B$14:$B$41,2)=7)*($D$14:$D$41="TD5,5"))+SUMPRODUCT(($D$14:$D$41="TD5,5")*($A$14:$A$41="Ft"))-SUMPRODUCT((WEEKDAY($B$14:$B$41,2)=7)*($D$14:$D$41="TD5,5")*($A$14:$A$41="Ft"))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SUMPRODUCT((WEEKDAY($B$14:$B$41,2)=7)*($D$14:$D$41="TD6"))+SUMPRODUCT(($D$14:$D$41="TD6")*($A$14:$A$41="Ft"))-SUMPRODUCT((WEEKDAY($B$14:$B$41,2)=7)*($D$14:$D$41="TD6")*($A$14:$A$41="Ft"))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SUMPRODUCT((WEEKDAY($B$14:$B$41,2)=7)*($D$14:$D$41="TD6,25"))+SUMPRODUCT(($D$14:$D$41="TD6,25")*($A$14:$A$41="Ft"))-SUMPRODUCT((WEEKDAY($B$14:$B$41,2)=7)*($D$14:$D$41="TD6,25")*($A$14:$A$41="Ft"))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SUMPRODUCT((WEEKDAY($B$14:$B$41,2)=7)*($D$14:$D$41="TD6,5"))+SUMPRODUCT(($D$14:$D$41="TD6,5")*($A$14:$A$41="Ft"))-SUMPRODUCT((WEEKDAY($B$14:$B$41,2)=7)*($D$14:$D$41="TD6,5")*($A$14:$A$41="Ft"))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SUMPRODUCT((WEEKDAY($B$14:$B$41,2)=7)*($D$14:$D$41="TD7"))+SUMPRODUCT(($D$14:$D$41="TD7")*($A$14:$A$41="Ft"))-SUMPRODUCT((WEEKDAY($B$14:$B$41,2)=7)*($D$14:$D$41="TD7")*($A$14:$A$41="Ft"))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SUMPRODUCT((WEEKDAY($B$14:$B$41,2)=7)*($D$14:$D$41="TD7,5"))+SUMPRODUCT(($D$14:$D$41="TD7,5")*($A$14:$A$41="Ft"))-SUMPRODUCT((WEEKDAY($B$14:$B$41,2)=7)*($D$14:$D$41="TD7,5")*($A$14:$A$41="Ft"))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SUMPRODUCT((WEEKDAY($B$14:$B$41,2)=7)*($D$14:$D$41="TD8"))+SUMPRODUCT(($D$14:$D$41="TD8")*($A$14:$A$41="Ft"))-SUMPRODUCT((WEEKDAY($B$14:$B$41,2)=7)*($D$14:$D$41="TD8")*($A$14:$A$41="Ft"))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SUMPRODUCT((WEEKDAY($B$14:$B$41,2)=7)*($D$14:$D$41="TD8,5"))+SUMPRODUCT(($D$14:$D$41="TD8,5")*($A$14:$A$41="Ft"))-SUMPRODUCT((WEEKDAY($B$14:$B$41,2)=7)*($D$14:$D$41="TD8,5")*($A$14:$A$41="Ft"))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SUMPRODUCT((WEEKDAY($B$14:$B$41,2)=7)*($D$14:$D$41="TD9"))+SUMPRODUCT(($D$14:$D$41="TD9")*($A$14:$A$41="Ft"))-SUMPRODUCT((WEEKDAY($B$14:$B$41,2)=7)*($D$14:$D$41="TD9")*($A$14:$A$41="Ft"))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SUMPRODUCT((WEEKDAY($B$14:$B$41,2)=7)*($D$14:$D$41="TD9,5"))+SUMPRODUCT(($D$14:$D$41="TD9,5")*($A$14:$A$41="Ft"))-SUMPRODUCT((WEEKDAY($B$14:$B$41,2)=7)*($D$14:$D$41="TD9,5")*($A$14:$A$41="Ft"))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SUMPRODUCT((WEEKDAY($B$14:$B$41,2)=7)*($D$14:$D$41="TD10"))+SUMPRODUCT(($D$14:$D$41="TD10")*($A$14:$A$41="Ft"))-SUMPRODUCT((WEEKDAY($B$14:$B$41,2)=7)*($D$14:$D$41="TD10")*($A$14:$A$41="Ft"))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SUMPRODUCT((WEEKDAY($B$14:$B$41,2)=7)*($D$14:$D$41="TD10,5"))+SUMPRODUCT(($D$14:$D$41="TD10,5")*($A$14:$A$41="Ft"))-SUMPRODUCT((WEEKDAY($B$14:$B$41,2)=7)*($D$14:$D$41="TD10,5")*($A$14:$A$41="Ft"))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SUMPRODUCT((WEEKDAY($B$14:$B$41,2)=7)*($D$14:$D$41="TD11"))+SUMPRODUCT(($D$14:$D$41="TD11")*($A$14:$A$41="Ft"))-SUMPRODUCT((WEEKDAY($B$14:$B$41,2)=7)*($D$14:$D$41="TD11")*($A$14:$A$41="Ft"))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SUMPRODUCT((WEEKDAY($B$14:$B$41,2)=7)*($D$14:$D$41="TD11,5"))+SUMPRODUCT(($D$14:$D$41="TD11,5")*($A$14:$A$41="Ft"))-SUMPRODUCT((WEEKDAY($B$14:$B$41,2)=7)*($D$14:$D$41="TD11,5")*($A$14:$A$41="Ft"))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SUMPRODUCT((WEEKDAY($B$14:$B$41,2)=7)*($D$14:$D$41="TD12"))+SUMPRODUCT(($D$14:$D$41="TD12")*($A$14:$A$41="Ft"))-SUMPRODUCT((WEEKDAY($B$14:$B$41,2)=7)*($D$14:$D$41="TD12")*($A$14:$A$41="Ft"))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SUMPRODUCT((WEEKDAY($B$14:$B$41,2)=7)*($D$14:$D$41="TD12,5"))+SUMPRODUCT(($D$14:$D$41="TD12,5")*($A$14:$A$41="Ft"))-SUMPRODUCT((WEEKDAY($B$14:$B$41,2)=7)*($D$14:$D$41="TD12,5")*($A$14:$A$41="Ft"))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SUMPRODUCT((WEEKDAY($B$13:$B$40,2)=6)*($D$13:$D$40="ND12,5"))-SUMPRODUCT((WEEKDAY($B$13:$B$40,2)=6)*($D$13:$D$40="ND12,5")*($A$13:$A$40="Ft"))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SUMPRODUCT((WEEKDAY($B$14:$B$41,2)=7)*($D$14:$D$41="ND12,5"))-SUMPRODUCT((WEEKDAY($B$14:$B$41,2)=7)*($D$14:$D$41="ND12,5")*($A$14:$A$41="Ft"))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SUMPRODUCT(($D$14:$D$41="ND12,5")*($A$14:$A$41="Ft"))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SUMPRODUCT((WEEKDAY($C$13:$C$40,2)=7)*($D$13:$D$40="ND12,5")*($A$14:$A$41="Ft"))-SUMPRODUCT((WEEKDAY($C$13:$C$40,2)=7)*($D$13:$D$40="ND12,5")*($A$13:$A$40="Ft")*($A$14:$A$41="Ft"))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SUMPRODUCT(($A$13:$A$40="Ft")*($D$13:$D$40="ND12,5")*($A$14:$A$41="Ft"))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SUMPRODUCT(($A$13:$A$40="Ft")*(WEEKDAY($C$14:$C$41,2)=7)*($D$13:$D$40="ND12,5"))-SUMPRODUCT(($A$13:$A$40="Ft")*($A$14:$A$41="Ft")*(WEEKDAY($C$14:$C$41,2)=7)*($D$13:$D$40="ND12,5"))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SUMPRODUCT(($A$14:$A$41="Ft")*(WEEKDAY($C$13:$C$40,2)&lt;6)*($D$13:$D$40="ND12,5"))-(SUMPRODUCT(($A$14:$A$41="Ft")*($A$13:$A$40="Ft")*(WEEKDAY($C$13:$C$40,2)&lt;6)*($D$13:$D$40="ND12,5")))</f>
        <v>0</v>
      </c>
    </row>
  </sheetData>
  <sheetProtection algorithmName="SHA-512" hashValue="8IvMeWq6op9U/ncyOlR/Wjh+kexTN0/kr/p3U6yLtMuvmkWJrR2s2jpbx7AyP0nKHrDsBA/vD1XJ3+kvpzbNbg==" saltValue="GNA6PNzbqgAWid5JN9SrYg==" spinCount="100000" sheet="1" selectLockedCells="1"/>
  <mergeCells count="55">
    <mergeCell ref="B6:E6"/>
    <mergeCell ref="F6:J6"/>
    <mergeCell ref="K6:M6"/>
    <mergeCell ref="N6:P6"/>
    <mergeCell ref="B3:J4"/>
    <mergeCell ref="B5:E5"/>
    <mergeCell ref="F5:J5"/>
    <mergeCell ref="K5:M5"/>
    <mergeCell ref="N5:P5"/>
    <mergeCell ref="B8:C8"/>
    <mergeCell ref="E8:G8"/>
    <mergeCell ref="H8:J8"/>
    <mergeCell ref="K8:M8"/>
    <mergeCell ref="N8:P8"/>
    <mergeCell ref="B7:C7"/>
    <mergeCell ref="E7:G7"/>
    <mergeCell ref="H7:J7"/>
    <mergeCell ref="K7:M7"/>
    <mergeCell ref="N7:P7"/>
    <mergeCell ref="O9:O11"/>
    <mergeCell ref="P9:P11"/>
    <mergeCell ref="B9:C11"/>
    <mergeCell ref="D9:D11"/>
    <mergeCell ref="E9:E11"/>
    <mergeCell ref="F9:G10"/>
    <mergeCell ref="H9:I10"/>
    <mergeCell ref="J9:J11"/>
    <mergeCell ref="AG10:AG11"/>
    <mergeCell ref="N13:O13"/>
    <mergeCell ref="L44:O44"/>
    <mergeCell ref="L45:O45"/>
    <mergeCell ref="C50:D50"/>
    <mergeCell ref="N50:P51"/>
    <mergeCell ref="Q9:Q11"/>
    <mergeCell ref="R9:R11"/>
    <mergeCell ref="S9:S11"/>
    <mergeCell ref="U10:Y10"/>
    <mergeCell ref="AA10:AE10"/>
    <mergeCell ref="AF10:AF11"/>
    <mergeCell ref="K9:K11"/>
    <mergeCell ref="L9:L11"/>
    <mergeCell ref="M9:M11"/>
    <mergeCell ref="N9:N11"/>
    <mergeCell ref="N63:O63"/>
    <mergeCell ref="N52:O52"/>
    <mergeCell ref="N53:O53"/>
    <mergeCell ref="G54:I54"/>
    <mergeCell ref="N54:O54"/>
    <mergeCell ref="N55:O55"/>
    <mergeCell ref="N56:O56"/>
    <mergeCell ref="N57:O57"/>
    <mergeCell ref="N58:P59"/>
    <mergeCell ref="N60:O60"/>
    <mergeCell ref="N61:O61"/>
    <mergeCell ref="N62:O62"/>
  </mergeCells>
  <conditionalFormatting sqref="A13:A41">
    <cfRule type="cellIs" dxfId="67" priority="1" operator="equal">
      <formula>"HFT"</formula>
    </cfRule>
    <cfRule type="cellIs" dxfId="66" priority="2" operator="equal">
      <formula>"FT"</formula>
    </cfRule>
  </conditionalFormatting>
  <conditionalFormatting sqref="A42">
    <cfRule type="cellIs" dxfId="65" priority="29" operator="equal">
      <formula>"Ft"</formula>
    </cfRule>
  </conditionalFormatting>
  <conditionalFormatting sqref="B27">
    <cfRule type="expression" priority="19">
      <formula>#REF!&gt;72</formula>
    </cfRule>
  </conditionalFormatting>
  <conditionalFormatting sqref="B13:C41">
    <cfRule type="expression" dxfId="63" priority="30">
      <formula>WEEKDAY($C13,2)&gt;5</formula>
    </cfRule>
  </conditionalFormatting>
  <conditionalFormatting sqref="E8">
    <cfRule type="cellIs" dxfId="62" priority="12" operator="greaterThan">
      <formula>48</formula>
    </cfRule>
  </conditionalFormatting>
  <conditionalFormatting sqref="I44:K44">
    <cfRule type="cellIs" dxfId="61" priority="18" operator="equal">
      <formula>"Wochenarbeitszeit überschritten"</formula>
    </cfRule>
  </conditionalFormatting>
  <conditionalFormatting sqref="J42:P42">
    <cfRule type="cellIs" dxfId="60" priority="20" operator="equal">
      <formula>0</formula>
    </cfRule>
  </conditionalFormatting>
  <conditionalFormatting sqref="K8">
    <cfRule type="cellIs" dxfId="59" priority="21" operator="equal">
      <formula>$N$8</formula>
    </cfRule>
    <cfRule type="cellIs" dxfId="58" priority="22" operator="greaterThan">
      <formula>$N$8</formula>
    </cfRule>
    <cfRule type="cellIs" dxfId="57" priority="23" operator="lessThan">
      <formula>$N$8</formula>
    </cfRule>
  </conditionalFormatting>
  <conditionalFormatting sqref="K14:K41">
    <cfRule type="cellIs" dxfId="56" priority="10" operator="lessThanOrEqual">
      <formula>0</formula>
    </cfRule>
    <cfRule type="cellIs" dxfId="55" priority="11" operator="greaterThan">
      <formula>0</formula>
    </cfRule>
  </conditionalFormatting>
  <conditionalFormatting sqref="K42">
    <cfRule type="cellIs" dxfId="54" priority="26" operator="lessThan">
      <formula>0</formula>
    </cfRule>
  </conditionalFormatting>
  <conditionalFormatting sqref="N14:P41 T14:T41 X14:AH41">
    <cfRule type="cellIs" dxfId="53" priority="28" operator="equal">
      <formula>0</formula>
    </cfRule>
  </conditionalFormatting>
  <conditionalFormatting sqref="P13">
    <cfRule type="cellIs" dxfId="52" priority="24" operator="equal">
      <formula>0</formula>
    </cfRule>
  </conditionalFormatting>
  <conditionalFormatting sqref="P60:P63">
    <cfRule type="cellIs" dxfId="51" priority="15" operator="lessThan">
      <formula>0</formula>
    </cfRule>
  </conditionalFormatting>
  <conditionalFormatting sqref="Q44">
    <cfRule type="cellIs" dxfId="50" priority="13" operator="equal">
      <formula>0</formula>
    </cfRule>
  </conditionalFormatting>
  <conditionalFormatting sqref="T51:W51">
    <cfRule type="cellIs" dxfId="49" priority="9" operator="equal">
      <formula>0</formula>
    </cfRule>
  </conditionalFormatting>
  <conditionalFormatting sqref="T42:AH42">
    <cfRule type="cellIs" dxfId="48" priority="14" operator="equal">
      <formula>0</formula>
    </cfRule>
  </conditionalFormatting>
  <conditionalFormatting sqref="U15:W41">
    <cfRule type="cellIs" dxfId="47" priority="25" operator="equal">
      <formula>0</formula>
    </cfRule>
  </conditionalFormatting>
  <conditionalFormatting sqref="U51:Y53">
    <cfRule type="cellIs" dxfId="46" priority="5" operator="equal">
      <formula>0</formula>
    </cfRule>
  </conditionalFormatting>
  <conditionalFormatting sqref="V14">
    <cfRule type="cellIs" dxfId="45" priority="27" operator="equal">
      <formula>0</formula>
    </cfRule>
  </conditionalFormatting>
  <conditionalFormatting sqref="V13:Z13">
    <cfRule type="cellIs" dxfId="44" priority="17" operator="equal">
      <formula>0</formula>
    </cfRule>
  </conditionalFormatting>
  <conditionalFormatting sqref="W52">
    <cfRule type="cellIs" dxfId="43" priority="6" operator="equal">
      <formula>0</formula>
    </cfRule>
  </conditionalFormatting>
  <conditionalFormatting sqref="Z51:AC51">
    <cfRule type="cellIs" dxfId="42" priority="8" operator="equal">
      <formula>0</formula>
    </cfRule>
  </conditionalFormatting>
  <conditionalFormatting sqref="AA51:AE52">
    <cfRule type="cellIs" dxfId="41" priority="7" operator="equal">
      <formula>0</formula>
    </cfRule>
  </conditionalFormatting>
  <conditionalFormatting sqref="AC13:AG13">
    <cfRule type="cellIs" dxfId="40" priority="16" operator="equal">
      <formula>0</formula>
    </cfRule>
  </conditionalFormatting>
  <conditionalFormatting sqref="AG51:AH51">
    <cfRule type="cellIs" dxfId="39" priority="4" operator="equal">
      <formula>0</formula>
    </cfRule>
  </conditionalFormatting>
  <conditionalFormatting sqref="AH51:AH52">
    <cfRule type="cellIs" dxfId="38" priority="3" operator="equal">
      <formula>0</formula>
    </cfRule>
  </conditionalFormatting>
  <dataValidations count="4">
    <dataValidation type="list" allowBlank="1" showInputMessage="1" showErrorMessage="1" sqref="H14:I41" xr:uid="{B862BBB7-9D17-4399-AA65-E154A6189865}">
      <formula1>Zeiten2</formula1>
    </dataValidation>
    <dataValidation type="list" allowBlank="1" showInputMessage="1" showErrorMessage="1" error="Die Eingabe ist unzulässig_x000a_Bitte Drop Down Felder verwenden" sqref="F14:G41" xr:uid="{AF728214-0F89-4549-86CE-75F95DF66490}">
      <formula1>Zeiten1</formula1>
    </dataValidation>
    <dataValidation type="list" allowBlank="1" showInputMessage="1" showErrorMessage="1" sqref="J14:J41" xr:uid="{535124CF-5A59-4720-BD50-DA74424729A5}">
      <formula1>AbwesenheitenStunden</formula1>
    </dataValidation>
    <dataValidation type="decimal" allowBlank="1" showInputMessage="1" showErrorMessage="1" error="Die ausgewählte Stundenanzahl steht nicht zur Verfügung!" sqref="J54" xr:uid="{CAE80477-BBB1-4864-B444-186CFA352D04}">
      <formula1>0</formula1>
      <formula2>K54</formula2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52B7B7AB-A553-4984-B298-0A182806CE2C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C570090-EB96-4F0F-B938-F91D9DBE1102}">
          <x14:formula1>
            <xm:f>IF((WEEKDAY(C14,2)&gt;=6),SF,IF((COUNTIF(Datenblatt!$B$84:$C$97,C14)=1),SF,Tagespräsenz))</xm:f>
          </x14:formula1>
          <xm:sqref>D14:D41</xm:sqref>
        </x14:dataValidation>
        <x14:dataValidation type="list" allowBlank="1" showInputMessage="1" showErrorMessage="1" xr:uid="{E6C83E68-8F98-49C4-AB01-720E77F7CEB9}">
          <x14:formula1>
            <xm:f>IF((WEEKDAY(C14,2)&gt;=6),SF,IF((COUNTIF(Datenblatt!$B$84:$B$97,C14)=1),SF,IF(OR(D14="U",D14="ZA",D14="NDG",D14="SU",D14="PK",D14="RG",D14="Z0",D14="K",D14="WR"),SF,SpA)))</xm:f>
          </x14:formula1>
          <xm:sqref>E14:E41</xm:sqref>
        </x14:dataValidation>
        <x14:dataValidation type="list" allowBlank="1" showInputMessage="1" showErrorMessage="1" xr:uid="{51FBB792-FD3E-4475-8DC1-CC54A6449830}">
          <x14:formula1>
            <xm:f>Datenblatt!$D$58:$D$59</xm:f>
          </x14:formula1>
          <xm:sqref>P44 J58</xm:sqref>
        </x14:dataValidation>
        <x14:dataValidation type="list" allowBlank="1" showInputMessage="1" showErrorMessage="1" xr:uid="{D45FD57E-6E98-46F6-8DEA-1EFF025F0832}">
          <x14:formula1>
            <xm:f>Datenblatt!$D$52:$D$53</xm:f>
          </x14:formula1>
          <xm:sqref>P45</xm:sqref>
        </x14:dataValidation>
        <x14:dataValidation type="list" allowBlank="1" showInputMessage="1" showErrorMessage="1" xr:uid="{DCCC1D74-FFC3-4317-8D23-4CFE02442E4B}">
          <x14:formula1>
            <xm:f>Datenblatt!$A$31:$A$51</xm:f>
          </x14:formula1>
          <xm:sqref>A43 AF45:AG46 L43:XFD43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05BE-2BEF-49F0-9AC1-B0C05755F9FD}">
  <sheetPr>
    <tabColor theme="9" tint="0.59999389629810485"/>
  </sheetPr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IF(SUM(N14:O44,L13:L44,AA51:AD51,AA52:AB52)=0,Datenblatt!J114,SUM(N14:O44,L13:L44,AA51:AD51,AA52:AB52,AH51:AH52))</f>
        <v>220.8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$22,13,FALSE),IF(Start!$D$8=Gehalt!$K$33,VLOOKUP($H$8,Gehalt!$A$4:$S$22,14,FALSE),IF(Start!$D$8=Gehalt!$K$34,VLOOKUP($H$8,Gehalt!$A$4:$S$22,15,FALSE),IF(Start!$D$8=Gehalt!$K$35,VLOOKUP($H$8,Gehalt!$A$4:$S$22,16,FALSE),IF(Start!$D$8=Gehalt!$K$36,VLOOKUP($H$8,Gehalt!$A$4:$S$22,17,FALSE),IF(Start!$D$8=Gehalt!$K$37,VLOOKUP($H$8,Gehalt!$A$4:$S$22,16,FALSE),IF(Start!$D$8=Gehalt!$K$38,VLOOKUP($H$8,Gehalt!$A$4:$S$22,18,FALSE),IF(Start!$D$8=Gehalt!$K$39,VLOOKUP($H$8,Gehalt!$A$4:$S$22,18,FALSE),IF(Start!$D$8=Gehalt!$K$40,VLOOKUP($H$8,Gehalt!$A$4:$S$22,19,FALSE),IF(Start!$D$8=Gehalt!$K$41,VLOOKUP($H$8,Gehalt!$A$4:$S$22,19,FALSE))))))))))))</f>
        <v>5551.99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630">
        <f>DATE($D$8,3,1)</f>
        <v>46447</v>
      </c>
      <c r="C8" s="631"/>
      <c r="D8" s="489">
        <f>Start!$D$2+1</f>
        <v>2027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176</v>
      </c>
      <c r="O8" s="555"/>
      <c r="P8" s="556"/>
      <c r="Q8" s="491">
        <f ca="1">IF($L$50="","",SUM($L$50:$L$59))</f>
        <v>5551.99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46446</v>
      </c>
      <c r="C13" s="139">
        <f>C14-1</f>
        <v>46446</v>
      </c>
      <c r="D13" s="143" t="str">
        <f>IF(Februar.!D$41="","",Februar.!D$41)</f>
        <v/>
      </c>
      <c r="E13" s="140" t="str">
        <f>IF(Februar.!E$41="","",Februar.!E$41)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46447</v>
      </c>
      <c r="C14" s="81">
        <f>DATE($D$8,MONTH(B$8),1)</f>
        <v>46447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46448</v>
      </c>
      <c r="C15" s="82">
        <f t="shared" ref="C15:C41" si="4">C14+1</f>
        <v>46448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5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ref="Z15:Z44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7">IF(OR(E15="ND",E15="ND12,5"),2,0)</f>
        <v>0</v>
      </c>
      <c r="AD15" s="203">
        <f t="shared" ref="AD15:AD44" si="8">IF(OR(E14="ND",E14="ND12,5"),6,0)</f>
        <v>0</v>
      </c>
      <c r="AE15" s="203">
        <f t="shared" ref="AE15:AE44" si="9">IF(AND(E14="ND",AA15&gt;=2),1,IF(AND(E14="ND12,5",AA15&gt;=2),0.5,0))</f>
        <v>0</v>
      </c>
      <c r="AF15" s="103">
        <f t="shared" ref="AF15:AF44" si="10">IF(OR(D15="ND",D15="ND12,5"),2-X15,0)</f>
        <v>0</v>
      </c>
      <c r="AG15" s="103">
        <f t="shared" ref="AG15:AG44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46449</v>
      </c>
      <c r="C16" s="82">
        <f t="shared" si="4"/>
        <v>46449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46450</v>
      </c>
      <c r="C17" s="82">
        <f t="shared" si="4"/>
        <v>46450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46451</v>
      </c>
      <c r="C18" s="82">
        <f t="shared" si="4"/>
        <v>46451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46452</v>
      </c>
      <c r="C19" s="82">
        <f t="shared" si="4"/>
        <v>46452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46453</v>
      </c>
      <c r="C20" s="82">
        <f t="shared" si="4"/>
        <v>46453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>
        <f t="shared" si="3"/>
        <v>0</v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46454</v>
      </c>
      <c r="C21" s="82">
        <f t="shared" si="4"/>
        <v>46454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46455</v>
      </c>
      <c r="C22" s="82">
        <f t="shared" si="4"/>
        <v>46455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46456</v>
      </c>
      <c r="C23" s="82">
        <f t="shared" si="4"/>
        <v>46456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46457</v>
      </c>
      <c r="C24" s="82">
        <f t="shared" si="4"/>
        <v>46457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46458</v>
      </c>
      <c r="C25" s="82">
        <f t="shared" si="4"/>
        <v>46458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46459</v>
      </c>
      <c r="C26" s="82">
        <f t="shared" si="4"/>
        <v>46459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46460</v>
      </c>
      <c r="C27" s="82">
        <f t="shared" si="4"/>
        <v>46460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>
        <f t="shared" si="3"/>
        <v>0</v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46461</v>
      </c>
      <c r="C28" s="82">
        <f t="shared" si="4"/>
        <v>46461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46462</v>
      </c>
      <c r="C29" s="82">
        <f t="shared" si="4"/>
        <v>46462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46463</v>
      </c>
      <c r="C30" s="82">
        <f t="shared" si="4"/>
        <v>46463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46464</v>
      </c>
      <c r="C31" s="82">
        <f t="shared" si="4"/>
        <v>46464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46465</v>
      </c>
      <c r="C32" s="82">
        <f t="shared" si="4"/>
        <v>46465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46466</v>
      </c>
      <c r="C33" s="82">
        <f t="shared" si="4"/>
        <v>46466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46467</v>
      </c>
      <c r="C34" s="82">
        <f t="shared" si="4"/>
        <v>46467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>
        <f t="shared" si="3"/>
        <v>0</v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46468</v>
      </c>
      <c r="C35" s="82">
        <f t="shared" si="4"/>
        <v>46468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46469</v>
      </c>
      <c r="C36" s="82">
        <f t="shared" si="4"/>
        <v>46469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46470</v>
      </c>
      <c r="C37" s="82">
        <f t="shared" si="4"/>
        <v>46470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46471</v>
      </c>
      <c r="C38" s="82">
        <f t="shared" si="4"/>
        <v>46471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46472</v>
      </c>
      <c r="C39" s="82">
        <f t="shared" si="4"/>
        <v>46472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46473</v>
      </c>
      <c r="C40" s="82">
        <f t="shared" si="4"/>
        <v>46473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46474</v>
      </c>
      <c r="C41" s="82">
        <f t="shared" si="4"/>
        <v>46474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>
        <f t="shared" si="3"/>
        <v>0</v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46475</v>
      </c>
      <c r="C42" s="82">
        <f>C41+1</f>
        <v>46475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5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46476</v>
      </c>
      <c r="C43" s="83">
        <f>C42+1</f>
        <v>46476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46477</v>
      </c>
      <c r="C44" s="150">
        <f>C43+1</f>
        <v>46477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5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6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7"/>
        <v>0</v>
      </c>
      <c r="AD44" s="203">
        <f t="shared" si="8"/>
        <v>0</v>
      </c>
      <c r="AE44" s="203">
        <f t="shared" si="9"/>
        <v>0</v>
      </c>
      <c r="AF44" s="103">
        <f t="shared" si="10"/>
        <v>0</v>
      </c>
      <c r="AG44" s="103">
        <f t="shared" si="11"/>
        <v>0</v>
      </c>
      <c r="AH44" s="103">
        <f>IF(E44="",0,VLOOKUP(E44,Datenblatt!$E$2:$G$28,3,FALSE))</f>
        <v>0</v>
      </c>
    </row>
    <row r="45" spans="1:34" ht="13" customHeight="1" thickBo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2">SUM(N14:N44)</f>
        <v>0</v>
      </c>
      <c r="O45" s="210">
        <f t="shared" si="12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"&amp;Start!$B$18</f>
        <v>Verrechnung von Sonderzahlungen, Überstunden, Nachtgutstunden und Nachtdiensten erfolgt im Folgemonat April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5551.99</v>
      </c>
      <c r="N50" s="540" t="str">
        <f>"Monatsprofil"&amp;" "&amp;Start!$B$29</f>
        <v>Monatsprofil März.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IF(OR(Start!$D$8=Gehalt!$K$37,Start!$D$8=Gehalt!$K$39,Start!$D$8=Gehalt!$K$41),Gehalt!$Q$29,0)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("&amp;""&amp;Gehalt!$Q$25&amp;""&amp;"€/h)"</f>
        <v>9545 Nachtdienstpauschale Gesamt (31,48€/h)</v>
      </c>
      <c r="H52" s="141"/>
      <c r="I52" s="141"/>
      <c r="J52" s="141"/>
      <c r="K52" s="245">
        <f>SUM($AF$14:$AG$44)</f>
        <v>0</v>
      </c>
      <c r="L52" s="215">
        <f>$K$52*Gehalt!$Q$25</f>
        <v>0</v>
      </c>
      <c r="N52" s="538" t="s">
        <v>236</v>
      </c>
      <c r="O52" s="539"/>
      <c r="P52" s="318">
        <f>VLOOKUP($B$8,Datenblatt!$A$100:$I$128,2,FALSE)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("&amp;""&amp;Gehalt!$Q$26&amp;""&amp;"€/h)"</f>
        <v>9547 Sonn- und Feiertagszulage (19,78€/h)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$K$53*Gehalt!$Q$26</f>
        <v>0</v>
      </c>
      <c r="N53" s="538" t="s">
        <v>237</v>
      </c>
      <c r="O53" s="539"/>
      <c r="P53" s="318">
        <f>VLOOKUP($B$8,Datenblatt!$A$100:$I$128,3,FALSE)</f>
        <v>2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VLOOKUP($B$8,Datenblatt!$A$100:$I$128,4,FALSE)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VLOOKUP($B$8,Datenblatt!$A$100:$I$128,5,FALSE)</f>
        <v>22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IF(Februar.!$P$63-SUM(Start!$E$24:$E$29)*2&lt;=0,0,Februar.!$P$63-SUM(Start!$E$24:$E$29)*2)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VLOOKUP($B$8,Datenblatt!$A$100:$I$128,7,FALSE)</f>
        <v>23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$K$57*Gehalt!$Q$28</f>
        <v>0</v>
      </c>
      <c r="N57" s="538" t="s">
        <v>235</v>
      </c>
      <c r="O57" s="539"/>
      <c r="P57" s="318">
        <f>VLOOKUP($B$8,Datenblatt!$A$100:$I$128,6,FALSE)</f>
        <v>176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IF($J$58="ja",Gehalt!$Q$27,0)</f>
        <v>0</v>
      </c>
      <c r="N58" s="546" t="str">
        <f>"Stundenkonto Monatsende"&amp;" "&amp;Start!$B$29</f>
        <v>Stundenkonto Monatsende März.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47.83</v>
      </c>
      <c r="N60" s="538" t="s">
        <v>233</v>
      </c>
      <c r="O60" s="539"/>
      <c r="P60" s="318">
        <f>Start!$C$32+SUM(Jänner:März.!$D$51)+Jänner.!$P$65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63.78</v>
      </c>
      <c r="N61" s="538" t="s">
        <v>234</v>
      </c>
      <c r="O61" s="539"/>
      <c r="P61" s="319">
        <f>Start!$C$33+SUM(Jänner:März.!$D$52)+SUM(Jänner:März.!$E$52)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Start!$C$34+SUM(Jänner:März.!$D$53)+SUM(Jänner:März.!$E$53)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Start!$C$35+SUM(Jänner:März.!$D$54)+SUM(Jänner:März.!$E$54)-SUM(Jänner:März.!$K$56)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3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</row>
    <row r="66" spans="3:13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</row>
    <row r="67" spans="3:13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</row>
    <row r="68" spans="3:13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</row>
    <row r="69" spans="3:13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</row>
    <row r="70" spans="3:13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</row>
    <row r="71" spans="3:13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</row>
    <row r="72" spans="3:13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</row>
    <row r="73" spans="3:13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3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176</v>
      </c>
    </row>
    <row r="75" spans="3:13" s="56" customFormat="1" ht="13" customHeight="1">
      <c r="D75" s="130"/>
    </row>
    <row r="76" spans="3:13" s="56" customFormat="1" ht="13" customHeight="1"/>
    <row r="77" spans="3:13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3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3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3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kc5npUaR8bH1kf79HOiqNvQ/iE2/c36XmQpPRBxejMIQ30LizC1HbARw0q141FB27d4uquvlqKTmvQgjMxsKcQ==" saltValue="vwWkBYkTn5xr7FKESxR2EA==" spinCount="100000" sheet="1" selectLockedCells="1"/>
  <mergeCells count="55">
    <mergeCell ref="B6:E6"/>
    <mergeCell ref="F6:J6"/>
    <mergeCell ref="K6:M6"/>
    <mergeCell ref="N6:P6"/>
    <mergeCell ref="B3:J4"/>
    <mergeCell ref="B5:E5"/>
    <mergeCell ref="F5:J5"/>
    <mergeCell ref="K5:M5"/>
    <mergeCell ref="N5:P5"/>
    <mergeCell ref="B8:C8"/>
    <mergeCell ref="E8:G8"/>
    <mergeCell ref="H8:J8"/>
    <mergeCell ref="K8:M8"/>
    <mergeCell ref="N8:P8"/>
    <mergeCell ref="B7:C7"/>
    <mergeCell ref="E7:G7"/>
    <mergeCell ref="H7:J7"/>
    <mergeCell ref="K7:M7"/>
    <mergeCell ref="N7:P7"/>
    <mergeCell ref="O9:O11"/>
    <mergeCell ref="P9:P11"/>
    <mergeCell ref="B9:C11"/>
    <mergeCell ref="D9:D11"/>
    <mergeCell ref="E9:E11"/>
    <mergeCell ref="F9:G10"/>
    <mergeCell ref="H9:I10"/>
    <mergeCell ref="J9:J11"/>
    <mergeCell ref="AG10:AG11"/>
    <mergeCell ref="N13:O13"/>
    <mergeCell ref="L47:O47"/>
    <mergeCell ref="L48:O48"/>
    <mergeCell ref="C50:D50"/>
    <mergeCell ref="N50:P51"/>
    <mergeCell ref="Q9:Q11"/>
    <mergeCell ref="R9:R11"/>
    <mergeCell ref="S9:S11"/>
    <mergeCell ref="U10:Y10"/>
    <mergeCell ref="AA10:AE10"/>
    <mergeCell ref="AF10:AF11"/>
    <mergeCell ref="K9:K11"/>
    <mergeCell ref="L9:L11"/>
    <mergeCell ref="M9:M11"/>
    <mergeCell ref="N9:N11"/>
    <mergeCell ref="N63:O63"/>
    <mergeCell ref="N52:O52"/>
    <mergeCell ref="N53:O53"/>
    <mergeCell ref="G54:I54"/>
    <mergeCell ref="N54:O54"/>
    <mergeCell ref="N55:O55"/>
    <mergeCell ref="N56:O56"/>
    <mergeCell ref="N57:O57"/>
    <mergeCell ref="N58:P59"/>
    <mergeCell ref="N60:O60"/>
    <mergeCell ref="N61:O61"/>
    <mergeCell ref="N62:O62"/>
  </mergeCells>
  <conditionalFormatting sqref="A13:A44">
    <cfRule type="cellIs" dxfId="37" priority="4" operator="equal">
      <formula>"HFT"</formula>
    </cfRule>
    <cfRule type="cellIs" dxfId="36" priority="5" operator="equal">
      <formula>"FT"</formula>
    </cfRule>
  </conditionalFormatting>
  <conditionalFormatting sqref="A45">
    <cfRule type="cellIs" dxfId="35" priority="36" operator="equal">
      <formula>"Ft"</formula>
    </cfRule>
  </conditionalFormatting>
  <conditionalFormatting sqref="B13:C44">
    <cfRule type="expression" dxfId="34" priority="37">
      <formula>WEEKDAY($C13,2)&gt;5</formula>
    </cfRule>
  </conditionalFormatting>
  <conditionalFormatting sqref="E8">
    <cfRule type="cellIs" dxfId="32" priority="17" operator="greaterThan">
      <formula>48</formula>
    </cfRule>
  </conditionalFormatting>
  <conditionalFormatting sqref="I47:K47">
    <cfRule type="cellIs" dxfId="31" priority="22" operator="equal">
      <formula>"Wochenarbeitszeit überschritten"</formula>
    </cfRule>
  </conditionalFormatting>
  <conditionalFormatting sqref="J45:P45">
    <cfRule type="cellIs" dxfId="30" priority="26" operator="equal">
      <formula>0</formula>
    </cfRule>
  </conditionalFormatting>
  <conditionalFormatting sqref="K8">
    <cfRule type="cellIs" dxfId="29" priority="29" operator="equal">
      <formula>$N$8</formula>
    </cfRule>
    <cfRule type="cellIs" dxfId="28" priority="30" operator="greaterThan">
      <formula>$N$8</formula>
    </cfRule>
    <cfRule type="cellIs" dxfId="27" priority="31" operator="lessThan">
      <formula>$N$8</formula>
    </cfRule>
  </conditionalFormatting>
  <conditionalFormatting sqref="K14:K44">
    <cfRule type="cellIs" dxfId="26" priority="14" operator="lessThanOrEqual">
      <formula>0</formula>
    </cfRule>
    <cfRule type="cellIs" dxfId="25" priority="15" operator="greaterThan">
      <formula>0</formula>
    </cfRule>
  </conditionalFormatting>
  <conditionalFormatting sqref="K45">
    <cfRule type="cellIs" dxfId="24" priority="32" operator="lessThan">
      <formula>0</formula>
    </cfRule>
  </conditionalFormatting>
  <conditionalFormatting sqref="N14:O44">
    <cfRule type="cellIs" dxfId="23" priority="6" operator="equal">
      <formula>0</formula>
    </cfRule>
  </conditionalFormatting>
  <conditionalFormatting sqref="P13:P44">
    <cfRule type="cellIs" dxfId="22" priority="2" operator="equal">
      <formula>0</formula>
    </cfRule>
  </conditionalFormatting>
  <conditionalFormatting sqref="P60:P63">
    <cfRule type="cellIs" dxfId="21" priority="19" operator="lessThan">
      <formula>0</formula>
    </cfRule>
  </conditionalFormatting>
  <conditionalFormatting sqref="Q47">
    <cfRule type="cellIs" dxfId="20" priority="18" operator="equal">
      <formula>0</formula>
    </cfRule>
  </conditionalFormatting>
  <conditionalFormatting sqref="T14:T44">
    <cfRule type="cellIs" dxfId="19" priority="34" operator="equal">
      <formula>0</formula>
    </cfRule>
  </conditionalFormatting>
  <conditionalFormatting sqref="T45:W45">
    <cfRule type="cellIs" dxfId="18" priority="25" operator="equal">
      <formula>0</formula>
    </cfRule>
  </conditionalFormatting>
  <conditionalFormatting sqref="T51:W51">
    <cfRule type="cellIs" dxfId="17" priority="12" operator="equal">
      <formula>0</formula>
    </cfRule>
  </conditionalFormatting>
  <conditionalFormatting sqref="U15:W44">
    <cfRule type="cellIs" dxfId="16" priority="33" operator="equal">
      <formula>0</formula>
    </cfRule>
  </conditionalFormatting>
  <conditionalFormatting sqref="U51:Y53">
    <cfRule type="cellIs" dxfId="15" priority="9" operator="equal">
      <formula>0</formula>
    </cfRule>
  </conditionalFormatting>
  <conditionalFormatting sqref="V14">
    <cfRule type="cellIs" dxfId="14" priority="35" operator="equal">
      <formula>0</formula>
    </cfRule>
  </conditionalFormatting>
  <conditionalFormatting sqref="V13:W13">
    <cfRule type="cellIs" dxfId="13" priority="27" operator="equal">
      <formula>0</formula>
    </cfRule>
  </conditionalFormatting>
  <conditionalFormatting sqref="W52">
    <cfRule type="cellIs" dxfId="12" priority="10" operator="equal">
      <formula>0</formula>
    </cfRule>
  </conditionalFormatting>
  <conditionalFormatting sqref="X13:Y45">
    <cfRule type="cellIs" dxfId="11" priority="20" operator="equal">
      <formula>0</formula>
    </cfRule>
  </conditionalFormatting>
  <conditionalFormatting sqref="Z13:Z44">
    <cfRule type="cellIs" dxfId="10" priority="28" operator="equal">
      <formula>0</formula>
    </cfRule>
  </conditionalFormatting>
  <conditionalFormatting sqref="Z51:AC51">
    <cfRule type="cellIs" dxfId="9" priority="11" operator="equal">
      <formula>0</formula>
    </cfRule>
  </conditionalFormatting>
  <conditionalFormatting sqref="Z45:AD45">
    <cfRule type="cellIs" dxfId="8" priority="24" operator="equal">
      <formula>0</formula>
    </cfRule>
  </conditionalFormatting>
  <conditionalFormatting sqref="AA14:AB44">
    <cfRule type="cellIs" dxfId="7" priority="16" operator="equal">
      <formula>0</formula>
    </cfRule>
  </conditionalFormatting>
  <conditionalFormatting sqref="AA51:AE52">
    <cfRule type="cellIs" dxfId="6" priority="3" operator="equal">
      <formula>0</formula>
    </cfRule>
  </conditionalFormatting>
  <conditionalFormatting sqref="AC13:AD44">
    <cfRule type="cellIs" dxfId="5" priority="23" operator="equal">
      <formula>0</formula>
    </cfRule>
  </conditionalFormatting>
  <conditionalFormatting sqref="AE13:AE45">
    <cfRule type="cellIs" dxfId="4" priority="1" operator="equal">
      <formula>0</formula>
    </cfRule>
  </conditionalFormatting>
  <conditionalFormatting sqref="AF13:AG44">
    <cfRule type="cellIs" dxfId="3" priority="21" operator="equal">
      <formula>0</formula>
    </cfRule>
  </conditionalFormatting>
  <conditionalFormatting sqref="AG51:AH51">
    <cfRule type="cellIs" dxfId="2" priority="8" operator="equal">
      <formula>0</formula>
    </cfRule>
  </conditionalFormatting>
  <conditionalFormatting sqref="AH14:AH44">
    <cfRule type="cellIs" dxfId="1" priority="13" operator="equal">
      <formula>0</formula>
    </cfRule>
  </conditionalFormatting>
  <conditionalFormatting sqref="AH51:AH52">
    <cfRule type="cellIs" dxfId="0" priority="7" operator="equal">
      <formula>0</formula>
    </cfRule>
  </conditionalFormatting>
  <dataValidations count="4">
    <dataValidation type="list" allowBlank="1" showInputMessage="1" showErrorMessage="1" sqref="H14:I44" xr:uid="{1C6A11CD-0F5A-4FF1-8760-31ED6B82BD35}">
      <formula1>Zeiten2</formula1>
    </dataValidation>
    <dataValidation type="decimal" allowBlank="1" showInputMessage="1" showErrorMessage="1" error="Die ausgewählte Stundenanzahl steht nicht zur Verfügung!" sqref="J54" xr:uid="{FE1D0B47-2B78-47E9-99D2-C5C7C49023CB}">
      <formula1>0</formula1>
      <formula2>K54</formula2>
    </dataValidation>
    <dataValidation type="list" allowBlank="1" showInputMessage="1" showErrorMessage="1" error="Die Eingabe ist unzulässig_x000a_Bitte Drop Down Felder verwenden" sqref="F14:G44" xr:uid="{0DC8EDC9-4E15-44C7-B529-A860F19C3A7C}">
      <formula1>Zeiten1</formula1>
    </dataValidation>
    <dataValidation type="list" allowBlank="1" showInputMessage="1" showErrorMessage="1" sqref="J14:J44" xr:uid="{DD011318-6F0B-4D7F-8EC5-6F7FA707FDA9}">
      <formula1>AbwesenheitenStunden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6AB00ACF-EEC5-4C79-882E-5BE8EA5F885D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8391958-7850-4B7C-820C-32D2DCAFC1E8}">
          <x14:formula1>
            <xm:f>Datenblatt!$D$52:$D$53</xm:f>
          </x14:formula1>
          <xm:sqref>P48</xm:sqref>
        </x14:dataValidation>
        <x14:dataValidation type="list" allowBlank="1" showInputMessage="1" showErrorMessage="1" xr:uid="{31676D87-5E73-495A-99D7-D3F0E1A24220}">
          <x14:formula1>
            <xm:f>Datenblatt!$D$58:$D$59</xm:f>
          </x14:formula1>
          <xm:sqref>P47 J58</xm:sqref>
        </x14:dataValidation>
        <x14:dataValidation type="list" allowBlank="1" showInputMessage="1" showErrorMessage="1" xr:uid="{5D638173-4990-4AD2-B00C-908803940717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E6B7AC40-26CB-41A8-A424-901BC2B39ADA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D1E2BB9D-1BFF-488F-9517-D44B4B8FEE5F}">
          <x14:formula1>
            <xm:f>Datenblatt!$A$31:$A$51</xm:f>
          </x14:formula1>
          <xm:sqref>A46 L46:XFD46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I595"/>
  <sheetViews>
    <sheetView workbookViewId="0">
      <selection activeCell="R39" sqref="R39"/>
    </sheetView>
  </sheetViews>
  <sheetFormatPr baseColWidth="10" defaultColWidth="10.83203125" defaultRowHeight="14"/>
  <cols>
    <col min="1" max="4" width="11.5" style="51" customWidth="1"/>
    <col min="5" max="5" width="11.5" style="52" customWidth="1"/>
    <col min="6" max="17" width="10.83203125" style="51"/>
    <col min="18" max="19" width="10.83203125" style="51" customWidth="1"/>
    <col min="20" max="22" width="10.83203125" style="51"/>
    <col min="23" max="23" width="10.83203125" style="51" customWidth="1"/>
    <col min="24" max="16384" width="10.83203125" style="51"/>
  </cols>
  <sheetData>
    <row r="1" spans="1:35" s="444" customFormat="1" ht="11">
      <c r="A1" s="641" t="s">
        <v>77</v>
      </c>
      <c r="B1" s="642"/>
      <c r="C1" s="638" t="str">
        <f>"Schema IV KAV_"&amp;""&amp;Start!$D$2-1</f>
        <v>Schema IV KAV_2025</v>
      </c>
      <c r="D1" s="639"/>
      <c r="E1" s="639"/>
      <c r="F1" s="639"/>
      <c r="G1" s="639"/>
      <c r="H1" s="639"/>
      <c r="I1" s="640"/>
      <c r="K1" s="641" t="s">
        <v>77</v>
      </c>
      <c r="L1" s="642"/>
      <c r="M1" s="638" t="str">
        <f>"Schema IV KAV_"&amp;""&amp;Start!$D$2</f>
        <v>Schema IV KAV_2026</v>
      </c>
      <c r="N1" s="639"/>
      <c r="O1" s="639"/>
      <c r="P1" s="639"/>
      <c r="Q1" s="639"/>
      <c r="R1" s="639"/>
      <c r="S1" s="640"/>
      <c r="U1" s="633" t="str">
        <f>"Eingabefeld Gehalt 1_"&amp;""&amp;Start!$D$2-1</f>
        <v>Eingabefeld Gehalt 1_2025</v>
      </c>
      <c r="V1" s="634"/>
      <c r="W1" s="634"/>
      <c r="X1" s="634"/>
      <c r="Y1" s="634"/>
      <c r="Z1" s="634"/>
      <c r="AA1" s="635"/>
      <c r="AC1" s="633" t="str">
        <f>"Eingabefeld Gehalt 1_"&amp;""&amp;Start!$D$2</f>
        <v>Eingabefeld Gehalt 1_2026</v>
      </c>
      <c r="AD1" s="634"/>
      <c r="AE1" s="634"/>
      <c r="AF1" s="634"/>
      <c r="AG1" s="634"/>
      <c r="AH1" s="634"/>
      <c r="AI1" s="635"/>
    </row>
    <row r="2" spans="1:35" s="444" customFormat="1" ht="11">
      <c r="A2" s="445" t="s">
        <v>62</v>
      </c>
      <c r="B2" s="446"/>
      <c r="C2" s="633" t="s">
        <v>329</v>
      </c>
      <c r="D2" s="634"/>
      <c r="E2" s="634"/>
      <c r="F2" s="633" t="s">
        <v>332</v>
      </c>
      <c r="G2" s="634"/>
      <c r="H2" s="634"/>
      <c r="I2" s="635"/>
      <c r="K2" s="445" t="s">
        <v>62</v>
      </c>
      <c r="L2" s="446"/>
      <c r="M2" s="633" t="s">
        <v>329</v>
      </c>
      <c r="N2" s="634"/>
      <c r="O2" s="634"/>
      <c r="P2" s="633" t="s">
        <v>332</v>
      </c>
      <c r="Q2" s="634"/>
      <c r="R2" s="634"/>
      <c r="S2" s="635"/>
      <c r="U2" s="633" t="s">
        <v>329</v>
      </c>
      <c r="V2" s="634"/>
      <c r="W2" s="634"/>
      <c r="X2" s="633" t="s">
        <v>332</v>
      </c>
      <c r="Y2" s="634"/>
      <c r="Z2" s="634"/>
      <c r="AA2" s="635"/>
      <c r="AC2" s="633" t="s">
        <v>329</v>
      </c>
      <c r="AD2" s="634"/>
      <c r="AE2" s="634"/>
      <c r="AF2" s="633" t="s">
        <v>332</v>
      </c>
      <c r="AG2" s="634"/>
      <c r="AH2" s="634"/>
      <c r="AI2" s="635"/>
    </row>
    <row r="3" spans="1:35" s="444" customFormat="1" ht="11">
      <c r="A3" s="372" t="s">
        <v>322</v>
      </c>
      <c r="B3" s="443" t="s">
        <v>285</v>
      </c>
      <c r="C3" s="372" t="s">
        <v>328</v>
      </c>
      <c r="D3" s="372" t="s">
        <v>330</v>
      </c>
      <c r="E3" s="373" t="s">
        <v>435</v>
      </c>
      <c r="F3" s="372" t="s">
        <v>398</v>
      </c>
      <c r="G3" s="372" t="s">
        <v>413</v>
      </c>
      <c r="H3" s="372" t="s">
        <v>331</v>
      </c>
      <c r="I3" s="373" t="s">
        <v>399</v>
      </c>
      <c r="K3" s="372" t="s">
        <v>322</v>
      </c>
      <c r="L3" s="443" t="s">
        <v>285</v>
      </c>
      <c r="M3" s="372" t="s">
        <v>328</v>
      </c>
      <c r="N3" s="372" t="s">
        <v>330</v>
      </c>
      <c r="O3" s="373" t="s">
        <v>435</v>
      </c>
      <c r="P3" s="372" t="s">
        <v>398</v>
      </c>
      <c r="Q3" s="372" t="s">
        <v>413</v>
      </c>
      <c r="R3" s="372" t="s">
        <v>331</v>
      </c>
      <c r="S3" s="373" t="s">
        <v>399</v>
      </c>
      <c r="U3" s="372" t="s">
        <v>328</v>
      </c>
      <c r="V3" s="372" t="s">
        <v>330</v>
      </c>
      <c r="W3" s="373" t="s">
        <v>435</v>
      </c>
      <c r="X3" s="372" t="s">
        <v>398</v>
      </c>
      <c r="Y3" s="372" t="s">
        <v>413</v>
      </c>
      <c r="Z3" s="372" t="s">
        <v>331</v>
      </c>
      <c r="AA3" s="373" t="s">
        <v>399</v>
      </c>
      <c r="AC3" s="372" t="s">
        <v>328</v>
      </c>
      <c r="AD3" s="372" t="s">
        <v>330</v>
      </c>
      <c r="AE3" s="373" t="s">
        <v>435</v>
      </c>
      <c r="AF3" s="372" t="s">
        <v>398</v>
      </c>
      <c r="AG3" s="372" t="s">
        <v>413</v>
      </c>
      <c r="AH3" s="372" t="s">
        <v>331</v>
      </c>
      <c r="AI3" s="373" t="s">
        <v>399</v>
      </c>
    </row>
    <row r="4" spans="1:35" s="444" customFormat="1" ht="11">
      <c r="A4" s="445">
        <v>1</v>
      </c>
      <c r="B4" s="445">
        <v>2</v>
      </c>
      <c r="C4" s="447">
        <f>U4/40*$E$34</f>
        <v>0</v>
      </c>
      <c r="D4" s="447">
        <f t="shared" ref="D4:I19" si="0">V4/40*$E$34</f>
        <v>4833.7</v>
      </c>
      <c r="E4" s="447">
        <f t="shared" si="0"/>
        <v>7166.4599999999991</v>
      </c>
      <c r="F4" s="447">
        <f t="shared" si="0"/>
        <v>7528.7200000000012</v>
      </c>
      <c r="G4" s="447">
        <f t="shared" si="0"/>
        <v>8023.44</v>
      </c>
      <c r="H4" s="447">
        <f t="shared" si="0"/>
        <v>4833.7</v>
      </c>
      <c r="I4" s="447">
        <f>AA4/40*$E$34</f>
        <v>7134.1399999999994</v>
      </c>
      <c r="K4" s="445">
        <v>1</v>
      </c>
      <c r="L4" s="445">
        <v>2</v>
      </c>
      <c r="M4" s="447">
        <f>AC4/40*$E$34</f>
        <v>0</v>
      </c>
      <c r="N4" s="447">
        <f t="shared" ref="N4:S4" si="1">AD4/40*$E$34</f>
        <v>4993.21</v>
      </c>
      <c r="O4" s="447">
        <f t="shared" si="1"/>
        <v>7402.95</v>
      </c>
      <c r="P4" s="447">
        <f t="shared" si="1"/>
        <v>7782.12</v>
      </c>
      <c r="Q4" s="447">
        <f t="shared" si="1"/>
        <v>8288.2099999999991</v>
      </c>
      <c r="R4" s="447">
        <f t="shared" si="1"/>
        <v>4993.21</v>
      </c>
      <c r="S4" s="447">
        <f t="shared" si="1"/>
        <v>7374.52</v>
      </c>
      <c r="U4" s="448">
        <v>0</v>
      </c>
      <c r="V4" s="448">
        <v>4833.7</v>
      </c>
      <c r="W4" s="448">
        <v>7166.46</v>
      </c>
      <c r="X4" s="448">
        <v>7528.72</v>
      </c>
      <c r="Y4" s="448">
        <v>8023.44</v>
      </c>
      <c r="Z4" s="448">
        <v>4833.7</v>
      </c>
      <c r="AA4" s="448">
        <v>7134.14</v>
      </c>
      <c r="AC4" s="448">
        <v>0</v>
      </c>
      <c r="AD4" s="448">
        <v>4993.21</v>
      </c>
      <c r="AE4" s="448">
        <v>7402.95</v>
      </c>
      <c r="AF4" s="448">
        <v>7782.12</v>
      </c>
      <c r="AG4" s="448">
        <v>8288.2099999999991</v>
      </c>
      <c r="AH4" s="448">
        <v>4993.21</v>
      </c>
      <c r="AI4" s="448">
        <v>7374.52</v>
      </c>
    </row>
    <row r="5" spans="1:35" s="444" customFormat="1" ht="11">
      <c r="A5" s="445">
        <v>2</v>
      </c>
      <c r="B5" s="445">
        <v>3</v>
      </c>
      <c r="C5" s="447">
        <f t="shared" ref="C5:C22" si="2">U5/40*$E$34</f>
        <v>0</v>
      </c>
      <c r="D5" s="447">
        <f t="shared" si="0"/>
        <v>5104.16</v>
      </c>
      <c r="E5" s="447">
        <f t="shared" si="0"/>
        <v>7301.7</v>
      </c>
      <c r="F5" s="447">
        <f t="shared" si="0"/>
        <v>7770.54</v>
      </c>
      <c r="G5" s="447">
        <f t="shared" si="0"/>
        <v>8265.26</v>
      </c>
      <c r="H5" s="447">
        <f t="shared" si="0"/>
        <v>5104.16</v>
      </c>
      <c r="I5" s="447">
        <f t="shared" si="0"/>
        <v>7455.25</v>
      </c>
      <c r="K5" s="445">
        <v>2</v>
      </c>
      <c r="L5" s="445">
        <v>3</v>
      </c>
      <c r="M5" s="447">
        <f t="shared" ref="M5:M22" si="3">AC5/40*$E$34</f>
        <v>0</v>
      </c>
      <c r="N5" s="447">
        <f t="shared" ref="N5:N22" si="4">AD5/40*$E$34</f>
        <v>5272.6</v>
      </c>
      <c r="O5" s="447">
        <f t="shared" ref="O5:O22" si="5">AE5/40*$E$34</f>
        <v>7542.66</v>
      </c>
      <c r="P5" s="447">
        <f t="shared" ref="P5:P22" si="6">AF5/40*$E$34</f>
        <v>8031.92</v>
      </c>
      <c r="Q5" s="447">
        <f t="shared" ref="Q5:Q22" si="7">AG5/40*$E$34</f>
        <v>8538.01</v>
      </c>
      <c r="R5" s="447">
        <f t="shared" ref="R5:R22" si="8">AH5/40*$E$34</f>
        <v>5272.6</v>
      </c>
      <c r="S5" s="447">
        <f t="shared" ref="S5:S22" si="9">AI5/40*$E$34</f>
        <v>7706.2200000000012</v>
      </c>
      <c r="U5" s="448">
        <v>0</v>
      </c>
      <c r="V5" s="448">
        <v>5104.16</v>
      </c>
      <c r="W5" s="448">
        <v>7301.7</v>
      </c>
      <c r="X5" s="448">
        <v>7770.54</v>
      </c>
      <c r="Y5" s="448">
        <v>8265.26</v>
      </c>
      <c r="Z5" s="448">
        <v>5104.16</v>
      </c>
      <c r="AA5" s="448">
        <v>7455.25</v>
      </c>
      <c r="AC5" s="448">
        <v>0</v>
      </c>
      <c r="AD5" s="448">
        <v>5272.6</v>
      </c>
      <c r="AE5" s="448">
        <v>7542.66</v>
      </c>
      <c r="AF5" s="448">
        <v>8031.92</v>
      </c>
      <c r="AG5" s="448">
        <v>8538.01</v>
      </c>
      <c r="AH5" s="448">
        <v>5272.6</v>
      </c>
      <c r="AI5" s="448">
        <v>7706.22</v>
      </c>
    </row>
    <row r="6" spans="1:35" s="444" customFormat="1" ht="11">
      <c r="A6" s="445">
        <v>3</v>
      </c>
      <c r="B6" s="445">
        <v>4</v>
      </c>
      <c r="C6" s="447">
        <f t="shared" si="2"/>
        <v>0</v>
      </c>
      <c r="D6" s="447">
        <f t="shared" si="0"/>
        <v>5374.6299999999992</v>
      </c>
      <c r="E6" s="447">
        <f t="shared" si="0"/>
        <v>7411.56</v>
      </c>
      <c r="F6" s="447">
        <f t="shared" si="0"/>
        <v>8012.37</v>
      </c>
      <c r="G6" s="447">
        <f t="shared" si="0"/>
        <v>8507.1</v>
      </c>
      <c r="H6" s="447">
        <f t="shared" si="0"/>
        <v>5374.6299999999992</v>
      </c>
      <c r="I6" s="447">
        <f t="shared" si="0"/>
        <v>7723.5</v>
      </c>
      <c r="K6" s="445">
        <v>3</v>
      </c>
      <c r="L6" s="445">
        <v>4</v>
      </c>
      <c r="M6" s="447">
        <f t="shared" si="3"/>
        <v>0</v>
      </c>
      <c r="N6" s="447">
        <f t="shared" si="4"/>
        <v>5551.99</v>
      </c>
      <c r="O6" s="447">
        <f t="shared" si="5"/>
        <v>7656.14</v>
      </c>
      <c r="P6" s="447">
        <f t="shared" si="6"/>
        <v>8281.73</v>
      </c>
      <c r="Q6" s="447">
        <f t="shared" si="7"/>
        <v>8787.83</v>
      </c>
      <c r="R6" s="447">
        <f t="shared" si="8"/>
        <v>5551.99</v>
      </c>
      <c r="S6" s="447">
        <f t="shared" si="9"/>
        <v>7983.33</v>
      </c>
      <c r="U6" s="448">
        <v>0</v>
      </c>
      <c r="V6" s="448">
        <v>5374.63</v>
      </c>
      <c r="W6" s="448">
        <v>7411.56</v>
      </c>
      <c r="X6" s="448">
        <v>8012.37</v>
      </c>
      <c r="Y6" s="448">
        <v>8507.1</v>
      </c>
      <c r="Z6" s="448">
        <v>5374.63</v>
      </c>
      <c r="AA6" s="448">
        <v>7723.5</v>
      </c>
      <c r="AC6" s="448">
        <v>0</v>
      </c>
      <c r="AD6" s="448">
        <v>5551.99</v>
      </c>
      <c r="AE6" s="448">
        <v>7656.14</v>
      </c>
      <c r="AF6" s="448">
        <v>8281.73</v>
      </c>
      <c r="AG6" s="448">
        <v>8787.83</v>
      </c>
      <c r="AH6" s="448">
        <v>5551.99</v>
      </c>
      <c r="AI6" s="448">
        <v>7983.33</v>
      </c>
    </row>
    <row r="7" spans="1:35" s="444" customFormat="1" ht="11">
      <c r="A7" s="445">
        <v>4</v>
      </c>
      <c r="B7" s="445">
        <v>5</v>
      </c>
      <c r="C7" s="447">
        <f t="shared" si="2"/>
        <v>7505.96</v>
      </c>
      <c r="D7" s="447">
        <f t="shared" si="0"/>
        <v>5553.1</v>
      </c>
      <c r="E7" s="447">
        <f t="shared" si="0"/>
        <v>7505.96</v>
      </c>
      <c r="F7" s="447">
        <f t="shared" si="0"/>
        <v>8254.2000000000007</v>
      </c>
      <c r="G7" s="447">
        <f t="shared" si="0"/>
        <v>8748.92</v>
      </c>
      <c r="H7" s="447">
        <f t="shared" si="0"/>
        <v>5442.24</v>
      </c>
      <c r="I7" s="447">
        <f t="shared" si="0"/>
        <v>7965.33</v>
      </c>
      <c r="K7" s="445">
        <v>4</v>
      </c>
      <c r="L7" s="445">
        <v>5</v>
      </c>
      <c r="M7" s="447">
        <f t="shared" si="3"/>
        <v>7753.66</v>
      </c>
      <c r="N7" s="447">
        <f t="shared" si="4"/>
        <v>5736.35</v>
      </c>
      <c r="O7" s="447">
        <f t="shared" si="5"/>
        <v>7753.66</v>
      </c>
      <c r="P7" s="447">
        <f t="shared" si="6"/>
        <v>8531.5400000000009</v>
      </c>
      <c r="Q7" s="447">
        <f t="shared" si="7"/>
        <v>9037.6299999999992</v>
      </c>
      <c r="R7" s="447">
        <f t="shared" si="8"/>
        <v>5621.83</v>
      </c>
      <c r="S7" s="447">
        <f t="shared" si="9"/>
        <v>8233.14</v>
      </c>
      <c r="U7" s="448">
        <v>7505.96</v>
      </c>
      <c r="V7" s="448">
        <v>5553.1</v>
      </c>
      <c r="W7" s="448">
        <v>7505.96</v>
      </c>
      <c r="X7" s="448">
        <v>8254.2000000000007</v>
      </c>
      <c r="Y7" s="448">
        <v>8748.92</v>
      </c>
      <c r="Z7" s="448">
        <v>5442.24</v>
      </c>
      <c r="AA7" s="448">
        <v>7965.33</v>
      </c>
      <c r="AC7" s="448">
        <v>7753.66</v>
      </c>
      <c r="AD7" s="448">
        <v>5736.35</v>
      </c>
      <c r="AE7" s="448">
        <v>7753.66</v>
      </c>
      <c r="AF7" s="448">
        <v>8531.5400000000009</v>
      </c>
      <c r="AG7" s="448">
        <v>9037.6299999999992</v>
      </c>
      <c r="AH7" s="448">
        <v>5621.83</v>
      </c>
      <c r="AI7" s="448">
        <v>8233.14</v>
      </c>
    </row>
    <row r="8" spans="1:35" s="444" customFormat="1" ht="11">
      <c r="A8" s="445">
        <v>5</v>
      </c>
      <c r="B8" s="445">
        <v>6</v>
      </c>
      <c r="C8" s="447">
        <f t="shared" si="2"/>
        <v>7637.19</v>
      </c>
      <c r="D8" s="447">
        <f t="shared" si="0"/>
        <v>5700.91</v>
      </c>
      <c r="E8" s="447">
        <f t="shared" si="0"/>
        <v>7637.19</v>
      </c>
      <c r="F8" s="447">
        <f t="shared" si="0"/>
        <v>8496.0300000000007</v>
      </c>
      <c r="G8" s="447">
        <f t="shared" si="0"/>
        <v>8990.76</v>
      </c>
      <c r="H8" s="447">
        <f t="shared" si="0"/>
        <v>0</v>
      </c>
      <c r="I8" s="447">
        <f t="shared" si="0"/>
        <v>8207.16</v>
      </c>
      <c r="K8" s="445">
        <v>5</v>
      </c>
      <c r="L8" s="445">
        <v>6</v>
      </c>
      <c r="M8" s="447">
        <f t="shared" si="3"/>
        <v>7889.22</v>
      </c>
      <c r="N8" s="447">
        <f t="shared" si="4"/>
        <v>5889.04</v>
      </c>
      <c r="O8" s="447">
        <f t="shared" si="5"/>
        <v>7889.22</v>
      </c>
      <c r="P8" s="447">
        <f t="shared" si="6"/>
        <v>8781.35</v>
      </c>
      <c r="Q8" s="447">
        <f t="shared" si="7"/>
        <v>9287.4599999999991</v>
      </c>
      <c r="R8" s="447">
        <f t="shared" si="8"/>
        <v>0</v>
      </c>
      <c r="S8" s="447">
        <f t="shared" si="9"/>
        <v>8482.9500000000007</v>
      </c>
      <c r="U8" s="448">
        <v>7637.19</v>
      </c>
      <c r="V8" s="448">
        <v>5700.91</v>
      </c>
      <c r="W8" s="448">
        <v>7637.19</v>
      </c>
      <c r="X8" s="448">
        <v>8496.0300000000007</v>
      </c>
      <c r="Y8" s="448">
        <v>8990.76</v>
      </c>
      <c r="Z8" s="448">
        <v>0</v>
      </c>
      <c r="AA8" s="448">
        <v>8207.16</v>
      </c>
      <c r="AC8" s="448">
        <v>7889.22</v>
      </c>
      <c r="AD8" s="448">
        <v>5889.04</v>
      </c>
      <c r="AE8" s="448">
        <v>7889.22</v>
      </c>
      <c r="AF8" s="448">
        <v>8781.35</v>
      </c>
      <c r="AG8" s="448">
        <v>9287.4599999999991</v>
      </c>
      <c r="AH8" s="448">
        <v>0</v>
      </c>
      <c r="AI8" s="448">
        <v>8482.9500000000007</v>
      </c>
    </row>
    <row r="9" spans="1:35" s="444" customFormat="1" ht="11">
      <c r="A9" s="445">
        <v>6</v>
      </c>
      <c r="B9" s="445">
        <v>7</v>
      </c>
      <c r="C9" s="447">
        <f t="shared" si="2"/>
        <v>7781.3</v>
      </c>
      <c r="D9" s="447">
        <f t="shared" si="0"/>
        <v>5848.7200000000012</v>
      </c>
      <c r="E9" s="447">
        <f t="shared" si="0"/>
        <v>7781.3</v>
      </c>
      <c r="F9" s="447">
        <f t="shared" si="0"/>
        <v>8737.85</v>
      </c>
      <c r="G9" s="447">
        <f t="shared" si="0"/>
        <v>9232.58</v>
      </c>
      <c r="H9" s="447">
        <f t="shared" si="0"/>
        <v>0</v>
      </c>
      <c r="I9" s="447">
        <f t="shared" si="0"/>
        <v>8448.99</v>
      </c>
      <c r="K9" s="445">
        <v>6</v>
      </c>
      <c r="L9" s="445">
        <v>7</v>
      </c>
      <c r="M9" s="447">
        <f t="shared" si="3"/>
        <v>8038.08</v>
      </c>
      <c r="N9" s="447">
        <f t="shared" si="4"/>
        <v>6041.73</v>
      </c>
      <c r="O9" s="447">
        <f t="shared" si="5"/>
        <v>8038.08</v>
      </c>
      <c r="P9" s="447">
        <f t="shared" si="6"/>
        <v>9031.15</v>
      </c>
      <c r="Q9" s="447">
        <f t="shared" si="7"/>
        <v>9537.26</v>
      </c>
      <c r="R9" s="447">
        <f t="shared" si="8"/>
        <v>0</v>
      </c>
      <c r="S9" s="447">
        <f t="shared" si="9"/>
        <v>8732.76</v>
      </c>
      <c r="U9" s="448">
        <v>7781.3</v>
      </c>
      <c r="V9" s="448">
        <v>5848.72</v>
      </c>
      <c r="W9" s="448">
        <v>7781.3</v>
      </c>
      <c r="X9" s="448">
        <v>8737.85</v>
      </c>
      <c r="Y9" s="448">
        <v>9232.58</v>
      </c>
      <c r="Z9" s="448">
        <v>0</v>
      </c>
      <c r="AA9" s="448">
        <v>8448.99</v>
      </c>
      <c r="AC9" s="448">
        <v>8038.08</v>
      </c>
      <c r="AD9" s="448">
        <v>6041.73</v>
      </c>
      <c r="AE9" s="448">
        <v>8038.08</v>
      </c>
      <c r="AF9" s="448">
        <v>9031.15</v>
      </c>
      <c r="AG9" s="448">
        <v>9537.26</v>
      </c>
      <c r="AH9" s="448">
        <v>0</v>
      </c>
      <c r="AI9" s="448">
        <v>8732.76</v>
      </c>
    </row>
    <row r="10" spans="1:35" s="444" customFormat="1" ht="11">
      <c r="A10" s="445">
        <v>7</v>
      </c>
      <c r="B10" s="445">
        <v>8</v>
      </c>
      <c r="C10" s="447">
        <f t="shared" si="2"/>
        <v>7925.48</v>
      </c>
      <c r="D10" s="447">
        <f t="shared" si="0"/>
        <v>5982.81</v>
      </c>
      <c r="E10" s="447">
        <f t="shared" si="0"/>
        <v>7925.48</v>
      </c>
      <c r="F10" s="447">
        <f t="shared" si="0"/>
        <v>8979.68</v>
      </c>
      <c r="G10" s="447">
        <f t="shared" si="0"/>
        <v>9474.4</v>
      </c>
      <c r="H10" s="447">
        <f t="shared" si="0"/>
        <v>0</v>
      </c>
      <c r="I10" s="447">
        <f t="shared" si="0"/>
        <v>8690.83</v>
      </c>
      <c r="K10" s="445">
        <v>7</v>
      </c>
      <c r="L10" s="445">
        <v>8</v>
      </c>
      <c r="M10" s="447">
        <f t="shared" si="3"/>
        <v>8187.02</v>
      </c>
      <c r="N10" s="447">
        <f t="shared" si="4"/>
        <v>6180.24</v>
      </c>
      <c r="O10" s="447">
        <f t="shared" si="5"/>
        <v>8187.02</v>
      </c>
      <c r="P10" s="447">
        <f t="shared" si="6"/>
        <v>9280.9599999999991</v>
      </c>
      <c r="Q10" s="447">
        <f t="shared" si="7"/>
        <v>9787.06</v>
      </c>
      <c r="R10" s="447">
        <f t="shared" si="8"/>
        <v>0</v>
      </c>
      <c r="S10" s="447">
        <f t="shared" si="9"/>
        <v>8982.58</v>
      </c>
      <c r="U10" s="448">
        <v>7925.48</v>
      </c>
      <c r="V10" s="448">
        <v>5982.81</v>
      </c>
      <c r="W10" s="448">
        <v>7925.48</v>
      </c>
      <c r="X10" s="448">
        <v>8979.68</v>
      </c>
      <c r="Y10" s="448">
        <v>9474.4</v>
      </c>
      <c r="Z10" s="448">
        <v>0</v>
      </c>
      <c r="AA10" s="448">
        <v>8690.83</v>
      </c>
      <c r="AC10" s="448">
        <v>8187.02</v>
      </c>
      <c r="AD10" s="448">
        <v>6180.24</v>
      </c>
      <c r="AE10" s="448">
        <v>8187.02</v>
      </c>
      <c r="AF10" s="448">
        <v>9280.9599999999991</v>
      </c>
      <c r="AG10" s="448">
        <v>9787.06</v>
      </c>
      <c r="AH10" s="448">
        <v>0</v>
      </c>
      <c r="AI10" s="448">
        <v>8982.58</v>
      </c>
    </row>
    <row r="11" spans="1:35" s="444" customFormat="1" ht="11">
      <c r="A11" s="445">
        <v>8</v>
      </c>
      <c r="B11" s="445">
        <v>9</v>
      </c>
      <c r="C11" s="447">
        <f t="shared" si="2"/>
        <v>8069.64</v>
      </c>
      <c r="D11" s="447">
        <f t="shared" si="0"/>
        <v>6113.13</v>
      </c>
      <c r="E11" s="447">
        <f t="shared" si="0"/>
        <v>8069.64</v>
      </c>
      <c r="F11" s="447">
        <f t="shared" si="0"/>
        <v>9221.51</v>
      </c>
      <c r="G11" s="447">
        <f t="shared" si="0"/>
        <v>9716.24</v>
      </c>
      <c r="H11" s="447">
        <f t="shared" si="0"/>
        <v>0</v>
      </c>
      <c r="I11" s="447">
        <f t="shared" si="0"/>
        <v>8932.65</v>
      </c>
      <c r="K11" s="445">
        <v>8</v>
      </c>
      <c r="L11" s="445">
        <v>9</v>
      </c>
      <c r="M11" s="447">
        <f t="shared" si="3"/>
        <v>8335.94</v>
      </c>
      <c r="N11" s="447">
        <f t="shared" si="4"/>
        <v>6314.86</v>
      </c>
      <c r="O11" s="447">
        <f t="shared" si="5"/>
        <v>8335.94</v>
      </c>
      <c r="P11" s="447">
        <f t="shared" si="6"/>
        <v>9530.77</v>
      </c>
      <c r="Q11" s="447">
        <f t="shared" si="7"/>
        <v>10036.879999999999</v>
      </c>
      <c r="R11" s="447">
        <f t="shared" si="8"/>
        <v>0</v>
      </c>
      <c r="S11" s="447">
        <f t="shared" si="9"/>
        <v>9232.3799999999992</v>
      </c>
      <c r="U11" s="448">
        <v>8069.64</v>
      </c>
      <c r="V11" s="448">
        <v>6113.13</v>
      </c>
      <c r="W11" s="448">
        <v>8069.64</v>
      </c>
      <c r="X11" s="448">
        <v>9221.51</v>
      </c>
      <c r="Y11" s="448">
        <v>9716.24</v>
      </c>
      <c r="Z11" s="448">
        <v>0</v>
      </c>
      <c r="AA11" s="448">
        <v>8932.65</v>
      </c>
      <c r="AC11" s="448">
        <v>8335.94</v>
      </c>
      <c r="AD11" s="448">
        <v>6314.86</v>
      </c>
      <c r="AE11" s="448">
        <v>8335.94</v>
      </c>
      <c r="AF11" s="448">
        <v>9530.77</v>
      </c>
      <c r="AG11" s="448">
        <v>10036.879999999999</v>
      </c>
      <c r="AH11" s="448">
        <v>0</v>
      </c>
      <c r="AI11" s="448">
        <v>9232.3799999999992</v>
      </c>
    </row>
    <row r="12" spans="1:35" s="444" customFormat="1" ht="11">
      <c r="A12" s="445">
        <v>9</v>
      </c>
      <c r="B12" s="445">
        <v>10</v>
      </c>
      <c r="C12" s="447">
        <f t="shared" si="2"/>
        <v>8342.39</v>
      </c>
      <c r="D12" s="447">
        <f t="shared" si="0"/>
        <v>6243.93</v>
      </c>
      <c r="E12" s="447">
        <f t="shared" si="0"/>
        <v>8342.39</v>
      </c>
      <c r="F12" s="447">
        <f t="shared" si="0"/>
        <v>9463.34</v>
      </c>
      <c r="G12" s="447">
        <f t="shared" si="0"/>
        <v>9958.06</v>
      </c>
      <c r="H12" s="447">
        <f t="shared" si="0"/>
        <v>0</v>
      </c>
      <c r="I12" s="447">
        <f t="shared" si="0"/>
        <v>9174.48</v>
      </c>
      <c r="K12" s="445">
        <v>9</v>
      </c>
      <c r="L12" s="445">
        <v>10</v>
      </c>
      <c r="M12" s="447">
        <f t="shared" si="3"/>
        <v>8617.69</v>
      </c>
      <c r="N12" s="447">
        <f t="shared" si="4"/>
        <v>6449.98</v>
      </c>
      <c r="O12" s="447">
        <f t="shared" si="5"/>
        <v>8617.69</v>
      </c>
      <c r="P12" s="447">
        <f t="shared" si="6"/>
        <v>9780.58</v>
      </c>
      <c r="Q12" s="447">
        <f t="shared" si="7"/>
        <v>10286.68</v>
      </c>
      <c r="R12" s="447">
        <f t="shared" si="8"/>
        <v>0</v>
      </c>
      <c r="S12" s="447">
        <f t="shared" si="9"/>
        <v>9482.19</v>
      </c>
      <c r="U12" s="448">
        <v>8342.39</v>
      </c>
      <c r="V12" s="448">
        <v>6243.93</v>
      </c>
      <c r="W12" s="448">
        <v>8342.39</v>
      </c>
      <c r="X12" s="448">
        <v>9463.34</v>
      </c>
      <c r="Y12" s="448">
        <v>9958.06</v>
      </c>
      <c r="Z12" s="448">
        <v>0</v>
      </c>
      <c r="AA12" s="448">
        <v>9174.48</v>
      </c>
      <c r="AC12" s="448">
        <v>8617.69</v>
      </c>
      <c r="AD12" s="448">
        <v>6449.98</v>
      </c>
      <c r="AE12" s="448">
        <v>8617.69</v>
      </c>
      <c r="AF12" s="448">
        <v>9780.58</v>
      </c>
      <c r="AG12" s="448">
        <v>10286.68</v>
      </c>
      <c r="AH12" s="448">
        <v>0</v>
      </c>
      <c r="AI12" s="448">
        <v>9482.19</v>
      </c>
    </row>
    <row r="13" spans="1:35" s="444" customFormat="1" ht="11">
      <c r="A13" s="445">
        <v>10</v>
      </c>
      <c r="B13" s="445">
        <v>11</v>
      </c>
      <c r="C13" s="447">
        <f t="shared" si="2"/>
        <v>8650.5499999999993</v>
      </c>
      <c r="D13" s="447">
        <f t="shared" si="0"/>
        <v>6374.55</v>
      </c>
      <c r="E13" s="447">
        <f t="shared" si="0"/>
        <v>8650.5499999999993</v>
      </c>
      <c r="F13" s="447">
        <f t="shared" si="0"/>
        <v>9705.18</v>
      </c>
      <c r="G13" s="447">
        <f t="shared" si="0"/>
        <v>10199.879999999999</v>
      </c>
      <c r="H13" s="447">
        <f t="shared" si="0"/>
        <v>0</v>
      </c>
      <c r="I13" s="447">
        <f t="shared" si="0"/>
        <v>9416.2999999999993</v>
      </c>
      <c r="K13" s="445">
        <v>10</v>
      </c>
      <c r="L13" s="445">
        <v>11</v>
      </c>
      <c r="M13" s="447">
        <f t="shared" si="3"/>
        <v>8936.02</v>
      </c>
      <c r="N13" s="447">
        <f t="shared" si="4"/>
        <v>6584.91</v>
      </c>
      <c r="O13" s="447">
        <f t="shared" si="5"/>
        <v>8936.02</v>
      </c>
      <c r="P13" s="447">
        <f t="shared" si="6"/>
        <v>10030.4</v>
      </c>
      <c r="Q13" s="447">
        <f t="shared" si="7"/>
        <v>10536.48</v>
      </c>
      <c r="R13" s="447">
        <f t="shared" si="8"/>
        <v>0</v>
      </c>
      <c r="S13" s="447">
        <f t="shared" si="9"/>
        <v>9731.99</v>
      </c>
      <c r="U13" s="448">
        <v>8650.5499999999993</v>
      </c>
      <c r="V13" s="448">
        <v>6374.55</v>
      </c>
      <c r="W13" s="448">
        <v>8650.5499999999993</v>
      </c>
      <c r="X13" s="448">
        <v>9705.18</v>
      </c>
      <c r="Y13" s="448">
        <v>10199.879999999999</v>
      </c>
      <c r="Z13" s="448">
        <v>0</v>
      </c>
      <c r="AA13" s="448">
        <v>9416.2999999999993</v>
      </c>
      <c r="AC13" s="448">
        <v>8936.02</v>
      </c>
      <c r="AD13" s="448">
        <v>6584.91</v>
      </c>
      <c r="AE13" s="448">
        <v>8936.02</v>
      </c>
      <c r="AF13" s="448">
        <v>10030.4</v>
      </c>
      <c r="AG13" s="448">
        <v>10536.48</v>
      </c>
      <c r="AH13" s="448">
        <v>0</v>
      </c>
      <c r="AI13" s="448">
        <v>9731.99</v>
      </c>
    </row>
    <row r="14" spans="1:35" s="444" customFormat="1" ht="11">
      <c r="A14" s="445">
        <v>11</v>
      </c>
      <c r="B14" s="445">
        <v>12</v>
      </c>
      <c r="C14" s="447">
        <f t="shared" si="2"/>
        <v>8942.07</v>
      </c>
      <c r="D14" s="447">
        <f t="shared" si="0"/>
        <v>6505.33</v>
      </c>
      <c r="E14" s="447">
        <f t="shared" si="0"/>
        <v>8942.07</v>
      </c>
      <c r="F14" s="447">
        <f t="shared" si="0"/>
        <v>9946.99</v>
      </c>
      <c r="G14" s="447">
        <f t="shared" si="0"/>
        <v>10441.709999999999</v>
      </c>
      <c r="H14" s="447">
        <f t="shared" si="0"/>
        <v>0</v>
      </c>
      <c r="I14" s="447">
        <f t="shared" si="0"/>
        <v>9658.14</v>
      </c>
      <c r="K14" s="445">
        <v>11</v>
      </c>
      <c r="L14" s="445">
        <v>12</v>
      </c>
      <c r="M14" s="447">
        <f t="shared" si="3"/>
        <v>9237.16</v>
      </c>
      <c r="N14" s="447">
        <f t="shared" si="4"/>
        <v>6720.01</v>
      </c>
      <c r="O14" s="447">
        <f t="shared" si="5"/>
        <v>9237.16</v>
      </c>
      <c r="P14" s="447">
        <f t="shared" si="6"/>
        <v>10280.19</v>
      </c>
      <c r="Q14" s="447">
        <f t="shared" si="7"/>
        <v>10786.29</v>
      </c>
      <c r="R14" s="447">
        <f t="shared" si="8"/>
        <v>0</v>
      </c>
      <c r="S14" s="447">
        <f t="shared" si="9"/>
        <v>9981.81</v>
      </c>
      <c r="U14" s="448">
        <v>8942.07</v>
      </c>
      <c r="V14" s="448">
        <v>6505.33</v>
      </c>
      <c r="W14" s="448">
        <v>8942.07</v>
      </c>
      <c r="X14" s="448">
        <v>9946.99</v>
      </c>
      <c r="Y14" s="448">
        <v>10441.709999999999</v>
      </c>
      <c r="Z14" s="448">
        <v>0</v>
      </c>
      <c r="AA14" s="448">
        <v>9658.14</v>
      </c>
      <c r="AC14" s="448">
        <v>9237.16</v>
      </c>
      <c r="AD14" s="448">
        <v>6720.01</v>
      </c>
      <c r="AE14" s="448">
        <v>9237.16</v>
      </c>
      <c r="AF14" s="448">
        <v>10280.19</v>
      </c>
      <c r="AG14" s="448">
        <v>10786.29</v>
      </c>
      <c r="AH14" s="448">
        <v>0</v>
      </c>
      <c r="AI14" s="448">
        <v>9981.81</v>
      </c>
    </row>
    <row r="15" spans="1:35" s="444" customFormat="1" ht="11">
      <c r="A15" s="445">
        <v>12</v>
      </c>
      <c r="B15" s="445">
        <v>13</v>
      </c>
      <c r="C15" s="447">
        <f t="shared" si="2"/>
        <v>9228.36</v>
      </c>
      <c r="D15" s="447">
        <f t="shared" si="0"/>
        <v>6636.09</v>
      </c>
      <c r="E15" s="447">
        <f t="shared" si="0"/>
        <v>9228.36</v>
      </c>
      <c r="F15" s="447">
        <f t="shared" si="0"/>
        <v>9946.99</v>
      </c>
      <c r="G15" s="447">
        <f t="shared" si="0"/>
        <v>10441.709999999999</v>
      </c>
      <c r="H15" s="447">
        <f t="shared" si="0"/>
        <v>0</v>
      </c>
      <c r="I15" s="447">
        <f t="shared" si="0"/>
        <v>9767.7999999999993</v>
      </c>
      <c r="K15" s="445">
        <v>12</v>
      </c>
      <c r="L15" s="445">
        <v>13</v>
      </c>
      <c r="M15" s="447">
        <f t="shared" si="3"/>
        <v>9532.9</v>
      </c>
      <c r="N15" s="447">
        <f t="shared" si="4"/>
        <v>6855.08</v>
      </c>
      <c r="O15" s="447">
        <f t="shared" si="5"/>
        <v>9532.9</v>
      </c>
      <c r="P15" s="447">
        <f t="shared" si="6"/>
        <v>10280.19</v>
      </c>
      <c r="Q15" s="447">
        <f t="shared" si="7"/>
        <v>10786.29</v>
      </c>
      <c r="R15" s="447">
        <f t="shared" si="8"/>
        <v>0</v>
      </c>
      <c r="S15" s="447">
        <f t="shared" si="9"/>
        <v>10095.09</v>
      </c>
      <c r="U15" s="448">
        <v>9228.36</v>
      </c>
      <c r="V15" s="448">
        <v>6636.09</v>
      </c>
      <c r="W15" s="448">
        <v>9228.36</v>
      </c>
      <c r="X15" s="448">
        <v>9946.99</v>
      </c>
      <c r="Y15" s="448">
        <v>10441.709999999999</v>
      </c>
      <c r="Z15" s="448">
        <v>0</v>
      </c>
      <c r="AA15" s="448">
        <v>9767.7999999999993</v>
      </c>
      <c r="AC15" s="448">
        <v>9532.9</v>
      </c>
      <c r="AD15" s="448">
        <v>6855.08</v>
      </c>
      <c r="AE15" s="448">
        <v>9532.9</v>
      </c>
      <c r="AF15" s="448">
        <v>10280.19</v>
      </c>
      <c r="AG15" s="448">
        <v>10786.29</v>
      </c>
      <c r="AH15" s="448">
        <v>0</v>
      </c>
      <c r="AI15" s="448">
        <v>10095.09</v>
      </c>
    </row>
    <row r="16" spans="1:35" s="444" customFormat="1" ht="11">
      <c r="A16" s="445">
        <v>13</v>
      </c>
      <c r="B16" s="445">
        <v>14</v>
      </c>
      <c r="C16" s="447">
        <f t="shared" si="2"/>
        <v>9515.14</v>
      </c>
      <c r="D16" s="447">
        <f t="shared" si="0"/>
        <v>6750.76</v>
      </c>
      <c r="E16" s="447">
        <f t="shared" si="0"/>
        <v>9515.14</v>
      </c>
      <c r="F16" s="447">
        <f t="shared" si="0"/>
        <v>0</v>
      </c>
      <c r="G16" s="447">
        <f t="shared" si="0"/>
        <v>0</v>
      </c>
      <c r="H16" s="447">
        <f t="shared" si="0"/>
        <v>0</v>
      </c>
      <c r="I16" s="447">
        <f t="shared" si="0"/>
        <v>0</v>
      </c>
      <c r="K16" s="445">
        <v>13</v>
      </c>
      <c r="L16" s="445">
        <v>14</v>
      </c>
      <c r="M16" s="447">
        <f t="shared" si="3"/>
        <v>9829.14</v>
      </c>
      <c r="N16" s="447">
        <f t="shared" si="4"/>
        <v>6973.5400000000009</v>
      </c>
      <c r="O16" s="447">
        <f t="shared" si="5"/>
        <v>9829.14</v>
      </c>
      <c r="P16" s="447">
        <f t="shared" si="6"/>
        <v>0</v>
      </c>
      <c r="Q16" s="447">
        <f t="shared" si="7"/>
        <v>0</v>
      </c>
      <c r="R16" s="447">
        <f t="shared" si="8"/>
        <v>0</v>
      </c>
      <c r="S16" s="447">
        <f t="shared" si="9"/>
        <v>0</v>
      </c>
      <c r="U16" s="448">
        <v>9515.14</v>
      </c>
      <c r="V16" s="448">
        <v>6750.76</v>
      </c>
      <c r="W16" s="448">
        <v>9515.14</v>
      </c>
      <c r="X16" s="448">
        <v>0</v>
      </c>
      <c r="Y16" s="448">
        <v>0</v>
      </c>
      <c r="Z16" s="448">
        <v>0</v>
      </c>
      <c r="AA16" s="448">
        <v>0</v>
      </c>
      <c r="AC16" s="448">
        <v>9829.14</v>
      </c>
      <c r="AD16" s="448">
        <v>6973.54</v>
      </c>
      <c r="AE16" s="448">
        <v>9829.14</v>
      </c>
      <c r="AF16" s="448">
        <v>0</v>
      </c>
      <c r="AG16" s="448">
        <v>0</v>
      </c>
      <c r="AH16" s="448">
        <v>0</v>
      </c>
      <c r="AI16" s="448">
        <v>0</v>
      </c>
    </row>
    <row r="17" spans="1:35" s="444" customFormat="1" ht="11">
      <c r="A17" s="445">
        <v>14</v>
      </c>
      <c r="B17" s="445">
        <v>15</v>
      </c>
      <c r="C17" s="447">
        <f t="shared" si="2"/>
        <v>9819.0300000000007</v>
      </c>
      <c r="D17" s="447">
        <f t="shared" si="0"/>
        <v>6860.27</v>
      </c>
      <c r="E17" s="447">
        <f t="shared" si="0"/>
        <v>9819.0300000000007</v>
      </c>
      <c r="F17" s="447">
        <f t="shared" si="0"/>
        <v>0</v>
      </c>
      <c r="G17" s="447">
        <f t="shared" si="0"/>
        <v>0</v>
      </c>
      <c r="H17" s="447">
        <f t="shared" si="0"/>
        <v>0</v>
      </c>
      <c r="I17" s="447">
        <f t="shared" si="0"/>
        <v>0</v>
      </c>
      <c r="K17" s="445">
        <v>14</v>
      </c>
      <c r="L17" s="445">
        <v>15</v>
      </c>
      <c r="M17" s="447">
        <f t="shared" si="3"/>
        <v>10143.06</v>
      </c>
      <c r="N17" s="447">
        <f t="shared" si="4"/>
        <v>7086.66</v>
      </c>
      <c r="O17" s="447">
        <f t="shared" si="5"/>
        <v>10143.06</v>
      </c>
      <c r="P17" s="447">
        <f t="shared" si="6"/>
        <v>0</v>
      </c>
      <c r="Q17" s="447">
        <f t="shared" si="7"/>
        <v>0</v>
      </c>
      <c r="R17" s="447">
        <f t="shared" si="8"/>
        <v>0</v>
      </c>
      <c r="S17" s="447">
        <f t="shared" si="9"/>
        <v>0</v>
      </c>
      <c r="U17" s="448">
        <v>9819.0300000000007</v>
      </c>
      <c r="V17" s="448">
        <v>6860.27</v>
      </c>
      <c r="W17" s="448">
        <v>9819.0300000000007</v>
      </c>
      <c r="X17" s="448">
        <v>0</v>
      </c>
      <c r="Y17" s="448">
        <v>0</v>
      </c>
      <c r="Z17" s="448">
        <v>0</v>
      </c>
      <c r="AA17" s="448">
        <v>0</v>
      </c>
      <c r="AC17" s="448">
        <v>10143.06</v>
      </c>
      <c r="AD17" s="448">
        <v>7086.66</v>
      </c>
      <c r="AE17" s="448">
        <v>10143.06</v>
      </c>
      <c r="AF17" s="448">
        <v>0</v>
      </c>
      <c r="AG17" s="448">
        <v>0</v>
      </c>
      <c r="AH17" s="448">
        <v>0</v>
      </c>
      <c r="AI17" s="448">
        <v>0</v>
      </c>
    </row>
    <row r="18" spans="1:35" s="444" customFormat="1" ht="11">
      <c r="A18" s="445">
        <v>15</v>
      </c>
      <c r="B18" s="445">
        <v>16</v>
      </c>
      <c r="C18" s="447">
        <f t="shared" si="2"/>
        <v>10063.379999999999</v>
      </c>
      <c r="D18" s="447">
        <f t="shared" si="0"/>
        <v>6887.64</v>
      </c>
      <c r="E18" s="447">
        <f t="shared" si="0"/>
        <v>10063.379999999999</v>
      </c>
      <c r="F18" s="447">
        <f t="shared" si="0"/>
        <v>0</v>
      </c>
      <c r="G18" s="447">
        <f t="shared" si="0"/>
        <v>0</v>
      </c>
      <c r="H18" s="447">
        <f t="shared" si="0"/>
        <v>0</v>
      </c>
      <c r="I18" s="447">
        <f t="shared" si="0"/>
        <v>0</v>
      </c>
      <c r="K18" s="445">
        <v>15</v>
      </c>
      <c r="L18" s="445">
        <v>16</v>
      </c>
      <c r="M18" s="447">
        <f t="shared" si="3"/>
        <v>10395.470000000001</v>
      </c>
      <c r="N18" s="447">
        <f t="shared" si="4"/>
        <v>7114.93</v>
      </c>
      <c r="O18" s="447">
        <f t="shared" si="5"/>
        <v>10395.470000000001</v>
      </c>
      <c r="P18" s="447">
        <f t="shared" si="6"/>
        <v>0</v>
      </c>
      <c r="Q18" s="447">
        <f t="shared" si="7"/>
        <v>0</v>
      </c>
      <c r="R18" s="447">
        <f t="shared" si="8"/>
        <v>0</v>
      </c>
      <c r="S18" s="447">
        <f t="shared" si="9"/>
        <v>0</v>
      </c>
      <c r="U18" s="448">
        <v>10063.379999999999</v>
      </c>
      <c r="V18" s="448">
        <v>6887.64</v>
      </c>
      <c r="W18" s="448">
        <v>10063.379999999999</v>
      </c>
      <c r="X18" s="448">
        <v>0</v>
      </c>
      <c r="Y18" s="448">
        <v>0</v>
      </c>
      <c r="Z18" s="448">
        <v>0</v>
      </c>
      <c r="AA18" s="448">
        <v>0</v>
      </c>
      <c r="AC18" s="448">
        <v>10395.469999999999</v>
      </c>
      <c r="AD18" s="448">
        <v>7114.93</v>
      </c>
      <c r="AE18" s="448">
        <v>10395.469999999999</v>
      </c>
      <c r="AF18" s="448">
        <v>0</v>
      </c>
      <c r="AG18" s="448">
        <v>0</v>
      </c>
      <c r="AH18" s="448">
        <v>0</v>
      </c>
      <c r="AI18" s="448">
        <v>0</v>
      </c>
    </row>
    <row r="19" spans="1:35" s="444" customFormat="1" ht="11">
      <c r="A19" s="445">
        <v>16</v>
      </c>
      <c r="B19" s="445">
        <v>17</v>
      </c>
      <c r="C19" s="447">
        <f t="shared" si="2"/>
        <v>10286.07</v>
      </c>
      <c r="D19" s="447">
        <f t="shared" si="0"/>
        <v>0</v>
      </c>
      <c r="E19" s="447">
        <f t="shared" si="0"/>
        <v>10286.07</v>
      </c>
      <c r="F19" s="447">
        <f t="shared" si="0"/>
        <v>0</v>
      </c>
      <c r="G19" s="447">
        <f t="shared" si="0"/>
        <v>0</v>
      </c>
      <c r="H19" s="447">
        <f t="shared" si="0"/>
        <v>0</v>
      </c>
      <c r="I19" s="447">
        <f t="shared" si="0"/>
        <v>0</v>
      </c>
      <c r="K19" s="445">
        <v>16</v>
      </c>
      <c r="L19" s="445">
        <v>17</v>
      </c>
      <c r="M19" s="447">
        <f t="shared" si="3"/>
        <v>10625.509999999998</v>
      </c>
      <c r="N19" s="447">
        <f t="shared" si="4"/>
        <v>0</v>
      </c>
      <c r="O19" s="447">
        <f t="shared" si="5"/>
        <v>10625.509999999998</v>
      </c>
      <c r="P19" s="447">
        <f t="shared" si="6"/>
        <v>0</v>
      </c>
      <c r="Q19" s="447">
        <f t="shared" si="7"/>
        <v>0</v>
      </c>
      <c r="R19" s="447">
        <f t="shared" si="8"/>
        <v>0</v>
      </c>
      <c r="S19" s="447">
        <f t="shared" si="9"/>
        <v>0</v>
      </c>
      <c r="U19" s="448">
        <v>10286.07</v>
      </c>
      <c r="V19" s="448">
        <v>0</v>
      </c>
      <c r="W19" s="448">
        <v>10286.07</v>
      </c>
      <c r="X19" s="448">
        <v>0</v>
      </c>
      <c r="Y19" s="448">
        <v>0</v>
      </c>
      <c r="Z19" s="448">
        <v>0</v>
      </c>
      <c r="AA19" s="448">
        <v>0</v>
      </c>
      <c r="AC19" s="448">
        <v>10625.51</v>
      </c>
      <c r="AD19" s="448">
        <v>0</v>
      </c>
      <c r="AE19" s="448">
        <v>10625.51</v>
      </c>
      <c r="AF19" s="448">
        <v>0</v>
      </c>
      <c r="AG19" s="448">
        <v>0</v>
      </c>
      <c r="AH19" s="448">
        <v>0</v>
      </c>
      <c r="AI19" s="448">
        <v>0</v>
      </c>
    </row>
    <row r="20" spans="1:35" s="444" customFormat="1" ht="11">
      <c r="A20" s="445">
        <v>17</v>
      </c>
      <c r="B20" s="445">
        <v>18</v>
      </c>
      <c r="C20" s="447">
        <f t="shared" si="2"/>
        <v>10508.76</v>
      </c>
      <c r="D20" s="447">
        <f t="shared" ref="D20:D22" si="10">V20/40*$E$34</f>
        <v>0</v>
      </c>
      <c r="E20" s="447">
        <f t="shared" ref="E20:E22" si="11">W20/40*$E$34</f>
        <v>10508.76</v>
      </c>
      <c r="F20" s="447">
        <f t="shared" ref="F20:F22" si="12">X20/40*$E$34</f>
        <v>0</v>
      </c>
      <c r="G20" s="447">
        <f t="shared" ref="G20:G22" si="13">Y20/40*$E$34</f>
        <v>0</v>
      </c>
      <c r="H20" s="447">
        <f t="shared" ref="H20:H22" si="14">Z20/40*$E$34</f>
        <v>0</v>
      </c>
      <c r="I20" s="447">
        <f t="shared" ref="I20:I22" si="15">AA20/40*$E$34</f>
        <v>0</v>
      </c>
      <c r="K20" s="445">
        <v>17</v>
      </c>
      <c r="L20" s="445">
        <v>18</v>
      </c>
      <c r="M20" s="447">
        <f t="shared" si="3"/>
        <v>10855.55</v>
      </c>
      <c r="N20" s="447">
        <f t="shared" si="4"/>
        <v>0</v>
      </c>
      <c r="O20" s="447">
        <f t="shared" si="5"/>
        <v>10855.55</v>
      </c>
      <c r="P20" s="447">
        <f t="shared" si="6"/>
        <v>0</v>
      </c>
      <c r="Q20" s="447">
        <f t="shared" si="7"/>
        <v>0</v>
      </c>
      <c r="R20" s="447">
        <f t="shared" si="8"/>
        <v>0</v>
      </c>
      <c r="S20" s="447">
        <f t="shared" si="9"/>
        <v>0</v>
      </c>
      <c r="U20" s="448">
        <v>10508.76</v>
      </c>
      <c r="V20" s="448">
        <v>0</v>
      </c>
      <c r="W20" s="448">
        <v>10508.76</v>
      </c>
      <c r="X20" s="448">
        <v>0</v>
      </c>
      <c r="Y20" s="448">
        <v>0</v>
      </c>
      <c r="Z20" s="448">
        <v>0</v>
      </c>
      <c r="AA20" s="448">
        <v>0</v>
      </c>
      <c r="AC20" s="448">
        <v>10855.55</v>
      </c>
      <c r="AD20" s="448">
        <v>0</v>
      </c>
      <c r="AE20" s="448">
        <v>10855.55</v>
      </c>
      <c r="AF20" s="448">
        <v>0</v>
      </c>
      <c r="AG20" s="448">
        <v>0</v>
      </c>
      <c r="AH20" s="448">
        <v>0</v>
      </c>
      <c r="AI20" s="448">
        <v>0</v>
      </c>
    </row>
    <row r="21" spans="1:35" s="444" customFormat="1" ht="11">
      <c r="A21" s="445">
        <v>18</v>
      </c>
      <c r="B21" s="445">
        <v>19</v>
      </c>
      <c r="C21" s="447">
        <f t="shared" si="2"/>
        <v>10731.399999999998</v>
      </c>
      <c r="D21" s="447">
        <f t="shared" si="10"/>
        <v>0</v>
      </c>
      <c r="E21" s="447">
        <f t="shared" si="11"/>
        <v>10731.399999999998</v>
      </c>
      <c r="F21" s="447">
        <f t="shared" si="12"/>
        <v>0</v>
      </c>
      <c r="G21" s="447">
        <f t="shared" si="13"/>
        <v>0</v>
      </c>
      <c r="H21" s="447">
        <f t="shared" si="14"/>
        <v>0</v>
      </c>
      <c r="I21" s="447">
        <f t="shared" si="15"/>
        <v>0</v>
      </c>
      <c r="K21" s="445">
        <v>18</v>
      </c>
      <c r="L21" s="445">
        <v>19</v>
      </c>
      <c r="M21" s="447">
        <f t="shared" si="3"/>
        <v>11085.54</v>
      </c>
      <c r="N21" s="447">
        <f t="shared" si="4"/>
        <v>0</v>
      </c>
      <c r="O21" s="447">
        <f t="shared" si="5"/>
        <v>11085.54</v>
      </c>
      <c r="P21" s="447">
        <f t="shared" si="6"/>
        <v>0</v>
      </c>
      <c r="Q21" s="447">
        <f t="shared" si="7"/>
        <v>0</v>
      </c>
      <c r="R21" s="447">
        <f t="shared" si="8"/>
        <v>0</v>
      </c>
      <c r="S21" s="447">
        <f t="shared" si="9"/>
        <v>0</v>
      </c>
      <c r="U21" s="448">
        <v>10731.4</v>
      </c>
      <c r="V21" s="448">
        <v>0</v>
      </c>
      <c r="W21" s="448">
        <v>10731.4</v>
      </c>
      <c r="X21" s="448">
        <v>0</v>
      </c>
      <c r="Y21" s="448">
        <v>0</v>
      </c>
      <c r="Z21" s="448">
        <v>0</v>
      </c>
      <c r="AA21" s="448">
        <v>0</v>
      </c>
      <c r="AC21" s="448">
        <v>11085.54</v>
      </c>
      <c r="AD21" s="448">
        <v>0</v>
      </c>
      <c r="AE21" s="448">
        <v>11085.54</v>
      </c>
      <c r="AF21" s="448">
        <v>0</v>
      </c>
      <c r="AG21" s="448">
        <v>0</v>
      </c>
      <c r="AH21" s="448">
        <v>0</v>
      </c>
      <c r="AI21" s="448">
        <v>0</v>
      </c>
    </row>
    <row r="22" spans="1:35" s="444" customFormat="1" ht="11">
      <c r="A22" s="445">
        <v>19</v>
      </c>
      <c r="B22" s="445">
        <v>19</v>
      </c>
      <c r="C22" s="447">
        <f t="shared" si="2"/>
        <v>10787.06</v>
      </c>
      <c r="D22" s="447">
        <f t="shared" si="10"/>
        <v>0</v>
      </c>
      <c r="E22" s="447">
        <f t="shared" si="11"/>
        <v>10787.06</v>
      </c>
      <c r="F22" s="447">
        <f t="shared" si="12"/>
        <v>0</v>
      </c>
      <c r="G22" s="447">
        <f t="shared" si="13"/>
        <v>0</v>
      </c>
      <c r="H22" s="447">
        <f t="shared" si="14"/>
        <v>0</v>
      </c>
      <c r="I22" s="447">
        <f t="shared" si="15"/>
        <v>0</v>
      </c>
      <c r="K22" s="445">
        <v>19</v>
      </c>
      <c r="L22" s="445">
        <v>19</v>
      </c>
      <c r="M22" s="447">
        <f t="shared" si="3"/>
        <v>11143.03</v>
      </c>
      <c r="N22" s="447">
        <f t="shared" si="4"/>
        <v>0</v>
      </c>
      <c r="O22" s="447">
        <f t="shared" si="5"/>
        <v>11143.03</v>
      </c>
      <c r="P22" s="447">
        <f t="shared" si="6"/>
        <v>0</v>
      </c>
      <c r="Q22" s="447">
        <f t="shared" si="7"/>
        <v>0</v>
      </c>
      <c r="R22" s="447">
        <f t="shared" si="8"/>
        <v>0</v>
      </c>
      <c r="S22" s="447">
        <f t="shared" si="9"/>
        <v>0</v>
      </c>
      <c r="U22" s="448">
        <v>10787.06</v>
      </c>
      <c r="V22" s="448">
        <v>0</v>
      </c>
      <c r="W22" s="448">
        <v>10787.06</v>
      </c>
      <c r="X22" s="448">
        <v>0</v>
      </c>
      <c r="Y22" s="448">
        <v>0</v>
      </c>
      <c r="Z22" s="448">
        <v>0</v>
      </c>
      <c r="AA22" s="448">
        <v>0</v>
      </c>
      <c r="AC22" s="448">
        <v>11143.03</v>
      </c>
      <c r="AD22" s="448">
        <v>0</v>
      </c>
      <c r="AE22" s="448">
        <v>11143.03</v>
      </c>
      <c r="AF22" s="448">
        <v>0</v>
      </c>
      <c r="AG22" s="448">
        <v>0</v>
      </c>
      <c r="AH22" s="448">
        <v>0</v>
      </c>
      <c r="AI22" s="448">
        <v>0</v>
      </c>
    </row>
    <row r="23" spans="1:35" s="444" customFormat="1" ht="11">
      <c r="E23" s="449"/>
    </row>
    <row r="24" spans="1:35" s="444" customFormat="1" ht="11">
      <c r="A24" s="450"/>
      <c r="B24" s="451"/>
      <c r="C24" s="446" t="str">
        <f>"1_"&amp;" "&amp;Start!$D$2</f>
        <v>1_ 2026</v>
      </c>
      <c r="D24" s="446" t="str">
        <f>"2_"&amp;" "&amp;Start!$D$2</f>
        <v>2_ 2026</v>
      </c>
      <c r="E24" s="446" t="str">
        <f>"3_"&amp;" "&amp;Start!$D$2</f>
        <v>3_ 2026</v>
      </c>
      <c r="F24" s="446" t="str">
        <f>"4_"&amp;" "&amp;Start!$D$2</f>
        <v>4_ 2026</v>
      </c>
      <c r="G24" s="446" t="str">
        <f>"5_"&amp;" "&amp;Start!$D$2</f>
        <v>5_ 2026</v>
      </c>
      <c r="H24" s="446" t="str">
        <f>"6_"&amp;" "&amp;Start!$D$2</f>
        <v>6_ 2026</v>
      </c>
      <c r="I24" s="446" t="str">
        <f>"7_"&amp;" "&amp;Start!$D$2</f>
        <v>7_ 2026</v>
      </c>
      <c r="J24" s="446" t="str">
        <f>"8_"&amp;" "&amp;Start!$D$2</f>
        <v>8_ 2026</v>
      </c>
      <c r="K24" s="446" t="str">
        <f>"9_"&amp;" "&amp;Start!$D$2</f>
        <v>9_ 2026</v>
      </c>
      <c r="L24" s="446" t="str">
        <f>"10_"&amp;" "&amp;Start!$D$2</f>
        <v>10_ 2026</v>
      </c>
      <c r="M24" s="446" t="str">
        <f>"11_"&amp;" "&amp;Start!$D$2</f>
        <v>11_ 2026</v>
      </c>
      <c r="N24" s="446" t="str">
        <f>"12_"&amp;" "&amp;Start!$D$2</f>
        <v>12_ 2026</v>
      </c>
      <c r="O24" s="446" t="str">
        <f>"1_"&amp;" "&amp;Start!$D$2+1</f>
        <v>1_ 2027</v>
      </c>
      <c r="P24" s="446" t="str">
        <f>"2_"&amp;" "&amp;Start!$D$2+1</f>
        <v>2_ 2027</v>
      </c>
      <c r="Q24" s="446" t="str">
        <f>"3_"&amp;" "&amp;Start!$D$2+1</f>
        <v>3_ 2027</v>
      </c>
    </row>
    <row r="25" spans="1:35" s="444" customFormat="1" ht="14.5" customHeight="1">
      <c r="A25" s="452" t="s">
        <v>298</v>
      </c>
      <c r="B25" s="453"/>
      <c r="C25" s="448">
        <v>30.47</v>
      </c>
      <c r="D25" s="448">
        <v>30.47</v>
      </c>
      <c r="E25" s="448">
        <v>30.47</v>
      </c>
      <c r="F25" s="448">
        <v>30.47</v>
      </c>
      <c r="G25" s="448">
        <v>30.47</v>
      </c>
      <c r="H25" s="448">
        <v>30.47</v>
      </c>
      <c r="I25" s="448">
        <v>31.48</v>
      </c>
      <c r="J25" s="448">
        <v>31.48</v>
      </c>
      <c r="K25" s="448">
        <v>31.48</v>
      </c>
      <c r="L25" s="448">
        <v>31.48</v>
      </c>
      <c r="M25" s="448">
        <v>31.48</v>
      </c>
      <c r="N25" s="448">
        <v>31.48</v>
      </c>
      <c r="O25" s="448">
        <v>31.48</v>
      </c>
      <c r="P25" s="448">
        <v>31.48</v>
      </c>
      <c r="Q25" s="448">
        <v>31.48</v>
      </c>
      <c r="T25" s="444" t="s">
        <v>405</v>
      </c>
    </row>
    <row r="26" spans="1:35" s="444" customFormat="1" ht="14.5" customHeight="1">
      <c r="A26" s="454" t="s">
        <v>299</v>
      </c>
      <c r="B26" s="455"/>
      <c r="C26" s="448">
        <v>19.149999999999999</v>
      </c>
      <c r="D26" s="448">
        <v>19.149999999999999</v>
      </c>
      <c r="E26" s="448">
        <v>19.149999999999999</v>
      </c>
      <c r="F26" s="448">
        <v>19.149999999999999</v>
      </c>
      <c r="G26" s="448">
        <v>19.149999999999999</v>
      </c>
      <c r="H26" s="448">
        <v>19.149999999999999</v>
      </c>
      <c r="I26" s="448">
        <v>19.78</v>
      </c>
      <c r="J26" s="448">
        <v>19.78</v>
      </c>
      <c r="K26" s="448">
        <v>19.78</v>
      </c>
      <c r="L26" s="448">
        <v>19.78</v>
      </c>
      <c r="M26" s="448">
        <v>19.78</v>
      </c>
      <c r="N26" s="448">
        <v>19.78</v>
      </c>
      <c r="O26" s="448">
        <v>19.78</v>
      </c>
      <c r="P26" s="448">
        <v>19.78</v>
      </c>
      <c r="Q26" s="448">
        <v>19.78</v>
      </c>
      <c r="T26" s="444" t="s">
        <v>403</v>
      </c>
    </row>
    <row r="27" spans="1:35" s="444" customFormat="1" ht="14.5" customHeight="1">
      <c r="A27" s="454" t="s">
        <v>300</v>
      </c>
      <c r="B27" s="455"/>
      <c r="C27" s="448">
        <v>805.31</v>
      </c>
      <c r="D27" s="448">
        <v>805.31</v>
      </c>
      <c r="E27" s="448">
        <v>805.31</v>
      </c>
      <c r="F27" s="448">
        <v>805.31</v>
      </c>
      <c r="G27" s="448">
        <v>805.31</v>
      </c>
      <c r="H27" s="448">
        <v>805.31</v>
      </c>
      <c r="I27" s="448">
        <v>831.89</v>
      </c>
      <c r="J27" s="448">
        <v>831.89</v>
      </c>
      <c r="K27" s="448">
        <v>831.89</v>
      </c>
      <c r="L27" s="448">
        <v>831.89</v>
      </c>
      <c r="M27" s="448">
        <v>831.89</v>
      </c>
      <c r="N27" s="448">
        <v>831.89</v>
      </c>
      <c r="O27" s="448">
        <v>831.89</v>
      </c>
      <c r="P27" s="448">
        <v>831.89</v>
      </c>
      <c r="Q27" s="448">
        <v>831.89</v>
      </c>
      <c r="R27" s="456" t="s">
        <v>401</v>
      </c>
    </row>
    <row r="28" spans="1:35" s="444" customFormat="1" ht="14.5" customHeight="1">
      <c r="A28" s="454" t="s">
        <v>432</v>
      </c>
      <c r="B28" s="455"/>
      <c r="C28" s="448">
        <v>6.91</v>
      </c>
      <c r="D28" s="448">
        <v>6.91</v>
      </c>
      <c r="E28" s="448">
        <v>6.91</v>
      </c>
      <c r="F28" s="448">
        <v>6.91</v>
      </c>
      <c r="G28" s="448">
        <v>6.91</v>
      </c>
      <c r="H28" s="448">
        <v>6.91</v>
      </c>
      <c r="I28" s="448">
        <v>7.14</v>
      </c>
      <c r="J28" s="448">
        <v>7.14</v>
      </c>
      <c r="K28" s="448">
        <v>7.14</v>
      </c>
      <c r="L28" s="448">
        <v>7.14</v>
      </c>
      <c r="M28" s="448">
        <v>7.14</v>
      </c>
      <c r="N28" s="448">
        <v>7.14</v>
      </c>
      <c r="O28" s="448">
        <v>7.14</v>
      </c>
      <c r="P28" s="448">
        <v>7.14</v>
      </c>
      <c r="Q28" s="448">
        <v>7.14</v>
      </c>
      <c r="R28" s="456" t="s">
        <v>400</v>
      </c>
      <c r="T28" s="444" t="s">
        <v>404</v>
      </c>
    </row>
    <row r="29" spans="1:35" s="444" customFormat="1" ht="14.5" customHeight="1">
      <c r="A29" s="457" t="s">
        <v>433</v>
      </c>
      <c r="B29" s="458"/>
      <c r="C29" s="447">
        <v>150</v>
      </c>
      <c r="D29" s="447">
        <v>150</v>
      </c>
      <c r="E29" s="447">
        <v>150</v>
      </c>
      <c r="F29" s="447">
        <v>150</v>
      </c>
      <c r="G29" s="447">
        <v>150</v>
      </c>
      <c r="H29" s="447">
        <v>150</v>
      </c>
      <c r="I29" s="447">
        <v>150</v>
      </c>
      <c r="J29" s="447">
        <v>150</v>
      </c>
      <c r="K29" s="447">
        <v>150</v>
      </c>
      <c r="L29" s="447">
        <v>150</v>
      </c>
      <c r="M29" s="447">
        <v>150</v>
      </c>
      <c r="N29" s="447">
        <v>150</v>
      </c>
      <c r="O29" s="447">
        <v>150</v>
      </c>
      <c r="P29" s="447">
        <v>150</v>
      </c>
      <c r="Q29" s="447">
        <v>150</v>
      </c>
      <c r="R29" s="456" t="s">
        <v>402</v>
      </c>
    </row>
    <row r="30" spans="1:35" s="444" customFormat="1" ht="11">
      <c r="E30" s="449"/>
    </row>
    <row r="31" spans="1:35" s="444" customFormat="1" ht="11">
      <c r="E31" s="449"/>
      <c r="I31" s="472"/>
      <c r="J31" s="473" t="s">
        <v>348</v>
      </c>
      <c r="K31" s="474"/>
      <c r="L31" s="474"/>
      <c r="M31" s="474"/>
      <c r="N31" s="474"/>
      <c r="O31" s="475"/>
    </row>
    <row r="32" spans="1:35" s="444" customFormat="1" ht="11">
      <c r="C32" s="633" t="s">
        <v>379</v>
      </c>
      <c r="D32" s="634"/>
      <c r="E32" s="635"/>
      <c r="I32" s="459" t="s">
        <v>338</v>
      </c>
      <c r="J32" s="460">
        <v>3</v>
      </c>
      <c r="K32" s="476" t="s">
        <v>334</v>
      </c>
      <c r="L32" s="476"/>
      <c r="M32" s="476"/>
      <c r="N32" s="476"/>
      <c r="O32" s="477"/>
    </row>
    <row r="33" spans="1:24" s="444" customFormat="1">
      <c r="C33" s="459"/>
      <c r="D33" s="460"/>
      <c r="E33" s="461"/>
      <c r="I33" s="459" t="s">
        <v>339</v>
      </c>
      <c r="J33" s="460">
        <v>4</v>
      </c>
      <c r="K33" s="476" t="s">
        <v>336</v>
      </c>
      <c r="L33" s="476"/>
      <c r="M33" s="476"/>
      <c r="N33" s="476"/>
      <c r="O33" s="477"/>
      <c r="R33" s="51"/>
      <c r="S33" s="51"/>
      <c r="T33" s="51"/>
      <c r="U33" s="51"/>
      <c r="V33" s="51"/>
      <c r="W33" s="51"/>
      <c r="X33" s="51"/>
    </row>
    <row r="34" spans="1:24" s="444" customFormat="1">
      <c r="C34" s="636" t="s">
        <v>323</v>
      </c>
      <c r="D34" s="637"/>
      <c r="E34" s="482">
        <f>Start!$D$12</f>
        <v>40</v>
      </c>
      <c r="I34" s="459" t="s">
        <v>340</v>
      </c>
      <c r="J34" s="460">
        <v>5</v>
      </c>
      <c r="K34" s="476" t="s">
        <v>356</v>
      </c>
      <c r="L34" s="476"/>
      <c r="M34" s="476"/>
      <c r="N34" s="476"/>
      <c r="O34" s="477"/>
      <c r="R34" s="51"/>
      <c r="S34" s="51"/>
      <c r="T34" s="51"/>
      <c r="U34" s="51"/>
      <c r="V34" s="51"/>
      <c r="W34" s="51"/>
      <c r="X34" s="51"/>
    </row>
    <row r="35" spans="1:24" s="444" customFormat="1">
      <c r="C35" s="483"/>
      <c r="D35" s="484"/>
      <c r="E35" s="461"/>
      <c r="I35" s="459" t="s">
        <v>341</v>
      </c>
      <c r="J35" s="460">
        <v>6</v>
      </c>
      <c r="K35" s="476" t="s">
        <v>335</v>
      </c>
      <c r="L35" s="476"/>
      <c r="M35" s="476"/>
      <c r="N35" s="476"/>
      <c r="O35" s="477"/>
      <c r="R35" s="51"/>
      <c r="S35" s="51"/>
      <c r="T35" s="51"/>
      <c r="U35" s="51"/>
      <c r="V35" s="51"/>
      <c r="W35" s="51"/>
      <c r="X35" s="51"/>
    </row>
    <row r="36" spans="1:24" s="444" customFormat="1">
      <c r="C36" s="636" t="s">
        <v>324</v>
      </c>
      <c r="D36" s="637"/>
      <c r="E36" s="485">
        <f>Start!$E$12</f>
        <v>5</v>
      </c>
      <c r="I36" s="459" t="s">
        <v>342</v>
      </c>
      <c r="J36" s="460">
        <v>7</v>
      </c>
      <c r="K36" s="476" t="s">
        <v>333</v>
      </c>
      <c r="L36" s="476"/>
      <c r="M36" s="476"/>
      <c r="N36" s="476"/>
      <c r="O36" s="477"/>
      <c r="R36" s="51"/>
      <c r="S36" s="51"/>
      <c r="T36" s="51"/>
      <c r="U36" s="51"/>
      <c r="V36" s="51"/>
      <c r="W36" s="51"/>
      <c r="X36" s="51"/>
    </row>
    <row r="37" spans="1:24" s="444" customFormat="1">
      <c r="C37" s="483"/>
      <c r="D37" s="484"/>
      <c r="E37" s="461"/>
      <c r="I37" s="459" t="s">
        <v>343</v>
      </c>
      <c r="J37" s="460">
        <v>6</v>
      </c>
      <c r="K37" s="476" t="s">
        <v>429</v>
      </c>
      <c r="L37" s="476"/>
      <c r="M37" s="476"/>
      <c r="N37" s="476"/>
      <c r="O37" s="477"/>
      <c r="R37" s="51"/>
      <c r="S37" s="51"/>
      <c r="T37" s="51"/>
      <c r="U37" s="51"/>
      <c r="V37" s="51"/>
      <c r="W37" s="51"/>
      <c r="X37" s="51"/>
    </row>
    <row r="38" spans="1:24" s="444" customFormat="1">
      <c r="C38" s="636" t="s">
        <v>325</v>
      </c>
      <c r="D38" s="637"/>
      <c r="E38" s="486">
        <f>$E$34/$E$36</f>
        <v>8</v>
      </c>
      <c r="I38" s="459" t="s">
        <v>344</v>
      </c>
      <c r="J38" s="460">
        <v>8</v>
      </c>
      <c r="K38" s="476" t="s">
        <v>337</v>
      </c>
      <c r="L38" s="476"/>
      <c r="M38" s="476"/>
      <c r="N38" s="476"/>
      <c r="O38" s="477"/>
      <c r="R38" s="51"/>
      <c r="S38" s="51"/>
      <c r="T38" s="51"/>
      <c r="U38" s="51"/>
      <c r="V38" s="51"/>
      <c r="W38" s="51"/>
      <c r="X38" s="51"/>
    </row>
    <row r="39" spans="1:24" s="444" customFormat="1">
      <c r="C39" s="487"/>
      <c r="D39" s="480"/>
      <c r="E39" s="481"/>
      <c r="I39" s="459" t="s">
        <v>345</v>
      </c>
      <c r="J39" s="460">
        <v>8</v>
      </c>
      <c r="K39" s="476" t="s">
        <v>430</v>
      </c>
      <c r="L39" s="476"/>
      <c r="M39" s="476"/>
      <c r="N39" s="476"/>
      <c r="O39" s="477"/>
      <c r="R39" s="51"/>
      <c r="S39" s="51"/>
      <c r="T39" s="51"/>
      <c r="U39" s="51"/>
      <c r="V39" s="51"/>
      <c r="W39" s="51"/>
      <c r="X39" s="51"/>
    </row>
    <row r="40" spans="1:24" s="444" customFormat="1">
      <c r="E40" s="449"/>
      <c r="I40" s="459" t="s">
        <v>346</v>
      </c>
      <c r="J40" s="460">
        <v>9</v>
      </c>
      <c r="K40" s="476" t="s">
        <v>347</v>
      </c>
      <c r="L40" s="476"/>
      <c r="M40" s="476"/>
      <c r="N40" s="476"/>
      <c r="O40" s="477"/>
      <c r="R40" s="51"/>
      <c r="S40" s="51"/>
      <c r="T40" s="51"/>
      <c r="U40" s="51"/>
      <c r="V40" s="51"/>
      <c r="W40" s="51"/>
      <c r="X40" s="51"/>
    </row>
    <row r="41" spans="1:24" s="444" customFormat="1">
      <c r="A41" s="488" t="s">
        <v>450</v>
      </c>
      <c r="B41" s="51"/>
      <c r="C41" s="51"/>
      <c r="D41" s="51"/>
      <c r="I41" s="478" t="s">
        <v>411</v>
      </c>
      <c r="J41" s="479">
        <v>9</v>
      </c>
      <c r="K41" s="480" t="s">
        <v>431</v>
      </c>
      <c r="L41" s="480"/>
      <c r="M41" s="480"/>
      <c r="N41" s="480"/>
      <c r="O41" s="481"/>
      <c r="R41" s="51"/>
      <c r="S41" s="51"/>
      <c r="T41" s="51"/>
      <c r="U41" s="51"/>
      <c r="V41" s="51"/>
      <c r="W41" s="51"/>
      <c r="X41" s="51"/>
    </row>
    <row r="42" spans="1:24">
      <c r="A42" s="86"/>
      <c r="B42" s="123" t="s">
        <v>451</v>
      </c>
    </row>
    <row r="43" spans="1:24">
      <c r="C43" s="469"/>
    </row>
    <row r="44" spans="1:24">
      <c r="C44" s="469"/>
    </row>
    <row r="45" spans="1:24">
      <c r="C45" s="469"/>
    </row>
    <row r="46" spans="1:24">
      <c r="C46" s="469"/>
    </row>
    <row r="47" spans="1:24">
      <c r="C47" s="469"/>
    </row>
    <row r="48" spans="1:24">
      <c r="C48" s="469"/>
    </row>
    <row r="49" spans="3:3">
      <c r="C49" s="469"/>
    </row>
    <row r="50" spans="3:3">
      <c r="C50" s="469"/>
    </row>
    <row r="51" spans="3:3">
      <c r="C51" s="469"/>
    </row>
    <row r="52" spans="3:3">
      <c r="C52" s="469"/>
    </row>
    <row r="53" spans="3:3">
      <c r="C53" s="469"/>
    </row>
    <row r="54" spans="3:3">
      <c r="C54" s="469"/>
    </row>
    <row r="55" spans="3:3">
      <c r="C55" s="469"/>
    </row>
    <row r="56" spans="3:3">
      <c r="C56" s="469"/>
    </row>
    <row r="57" spans="3:3">
      <c r="C57" s="469"/>
    </row>
    <row r="58" spans="3:3">
      <c r="C58" s="469"/>
    </row>
    <row r="59" spans="3:3">
      <c r="C59" s="469"/>
    </row>
    <row r="60" spans="3:3">
      <c r="C60" s="469"/>
    </row>
    <row r="61" spans="3:3">
      <c r="C61" s="469"/>
    </row>
    <row r="62" spans="3:3">
      <c r="C62" s="469"/>
    </row>
    <row r="63" spans="3:3">
      <c r="C63" s="469"/>
    </row>
    <row r="64" spans="3:3">
      <c r="C64" s="469"/>
    </row>
    <row r="65" spans="3:3">
      <c r="C65" s="469"/>
    </row>
    <row r="66" spans="3:3">
      <c r="C66" s="469"/>
    </row>
    <row r="67" spans="3:3">
      <c r="C67" s="469"/>
    </row>
    <row r="68" spans="3:3">
      <c r="C68" s="469"/>
    </row>
    <row r="69" spans="3:3">
      <c r="C69" s="469"/>
    </row>
    <row r="70" spans="3:3">
      <c r="C70" s="469"/>
    </row>
    <row r="71" spans="3:3">
      <c r="C71" s="469"/>
    </row>
    <row r="72" spans="3:3">
      <c r="C72" s="469"/>
    </row>
    <row r="73" spans="3:3">
      <c r="C73" s="469"/>
    </row>
    <row r="74" spans="3:3">
      <c r="C74" s="469"/>
    </row>
    <row r="75" spans="3:3">
      <c r="C75" s="469"/>
    </row>
    <row r="76" spans="3:3">
      <c r="C76" s="469"/>
    </row>
    <row r="77" spans="3:3">
      <c r="C77" s="469"/>
    </row>
    <row r="78" spans="3:3">
      <c r="C78" s="469"/>
    </row>
    <row r="79" spans="3:3">
      <c r="C79" s="469"/>
    </row>
    <row r="80" spans="3:3">
      <c r="C80" s="469"/>
    </row>
    <row r="81" spans="3:3">
      <c r="C81" s="469"/>
    </row>
    <row r="82" spans="3:3">
      <c r="C82" s="469"/>
    </row>
    <row r="83" spans="3:3">
      <c r="C83" s="469"/>
    </row>
    <row r="84" spans="3:3">
      <c r="C84" s="469"/>
    </row>
    <row r="85" spans="3:3">
      <c r="C85" s="469"/>
    </row>
    <row r="86" spans="3:3">
      <c r="C86" s="469"/>
    </row>
    <row r="87" spans="3:3">
      <c r="C87" s="469"/>
    </row>
    <row r="88" spans="3:3">
      <c r="C88" s="469"/>
    </row>
    <row r="89" spans="3:3">
      <c r="C89" s="469"/>
    </row>
    <row r="90" spans="3:3">
      <c r="C90" s="469"/>
    </row>
    <row r="91" spans="3:3">
      <c r="C91" s="469"/>
    </row>
    <row r="92" spans="3:3">
      <c r="C92" s="469"/>
    </row>
    <row r="93" spans="3:3">
      <c r="C93" s="469"/>
    </row>
    <row r="94" spans="3:3">
      <c r="C94" s="469"/>
    </row>
    <row r="95" spans="3:3">
      <c r="C95" s="469"/>
    </row>
    <row r="96" spans="3:3">
      <c r="C96" s="469"/>
    </row>
    <row r="97" spans="3:3">
      <c r="C97" s="469"/>
    </row>
    <row r="98" spans="3:3">
      <c r="C98" s="469"/>
    </row>
    <row r="99" spans="3:3">
      <c r="C99" s="469"/>
    </row>
    <row r="100" spans="3:3">
      <c r="C100" s="469"/>
    </row>
    <row r="101" spans="3:3">
      <c r="C101" s="469"/>
    </row>
    <row r="102" spans="3:3">
      <c r="C102" s="469"/>
    </row>
    <row r="103" spans="3:3">
      <c r="C103" s="469"/>
    </row>
    <row r="104" spans="3:3">
      <c r="C104" s="469"/>
    </row>
    <row r="105" spans="3:3">
      <c r="C105" s="469"/>
    </row>
    <row r="106" spans="3:3">
      <c r="C106" s="469"/>
    </row>
    <row r="107" spans="3:3">
      <c r="C107" s="469"/>
    </row>
    <row r="108" spans="3:3">
      <c r="C108" s="469"/>
    </row>
    <row r="109" spans="3:3">
      <c r="C109" s="469"/>
    </row>
    <row r="110" spans="3:3">
      <c r="C110" s="469"/>
    </row>
    <row r="111" spans="3:3">
      <c r="C111" s="469"/>
    </row>
    <row r="112" spans="3:3">
      <c r="C112" s="469"/>
    </row>
    <row r="113" spans="3:3">
      <c r="C113" s="469"/>
    </row>
    <row r="114" spans="3:3">
      <c r="C114" s="469"/>
    </row>
    <row r="115" spans="3:3">
      <c r="C115" s="469"/>
    </row>
    <row r="116" spans="3:3">
      <c r="C116" s="469"/>
    </row>
    <row r="117" spans="3:3">
      <c r="C117" s="469"/>
    </row>
    <row r="118" spans="3:3">
      <c r="C118" s="469"/>
    </row>
    <row r="119" spans="3:3">
      <c r="C119" s="469"/>
    </row>
    <row r="120" spans="3:3">
      <c r="C120" s="469"/>
    </row>
    <row r="121" spans="3:3">
      <c r="C121" s="469"/>
    </row>
    <row r="122" spans="3:3">
      <c r="C122" s="469"/>
    </row>
    <row r="123" spans="3:3">
      <c r="C123" s="469"/>
    </row>
    <row r="124" spans="3:3">
      <c r="C124" s="469"/>
    </row>
    <row r="125" spans="3:3">
      <c r="C125" s="469"/>
    </row>
    <row r="126" spans="3:3">
      <c r="C126" s="469"/>
    </row>
    <row r="127" spans="3:3">
      <c r="C127" s="469"/>
    </row>
    <row r="128" spans="3:3">
      <c r="C128" s="469"/>
    </row>
    <row r="129" spans="3:3">
      <c r="C129" s="469"/>
    </row>
    <row r="130" spans="3:3">
      <c r="C130" s="469"/>
    </row>
    <row r="131" spans="3:3">
      <c r="C131" s="469"/>
    </row>
    <row r="132" spans="3:3">
      <c r="C132" s="469"/>
    </row>
    <row r="133" spans="3:3">
      <c r="C133" s="469"/>
    </row>
    <row r="134" spans="3:3">
      <c r="C134" s="469"/>
    </row>
    <row r="135" spans="3:3">
      <c r="C135" s="469"/>
    </row>
    <row r="136" spans="3:3">
      <c r="C136" s="469"/>
    </row>
    <row r="137" spans="3:3">
      <c r="C137" s="469"/>
    </row>
    <row r="138" spans="3:3">
      <c r="C138" s="469"/>
    </row>
    <row r="139" spans="3:3">
      <c r="C139" s="469"/>
    </row>
    <row r="140" spans="3:3">
      <c r="C140" s="469"/>
    </row>
    <row r="141" spans="3:3">
      <c r="C141" s="469"/>
    </row>
    <row r="142" spans="3:3">
      <c r="C142" s="469"/>
    </row>
    <row r="143" spans="3:3">
      <c r="C143" s="469"/>
    </row>
    <row r="144" spans="3:3">
      <c r="C144" s="469"/>
    </row>
    <row r="145" spans="3:3">
      <c r="C145" s="469"/>
    </row>
    <row r="146" spans="3:3">
      <c r="C146" s="469"/>
    </row>
    <row r="147" spans="3:3">
      <c r="C147" s="469"/>
    </row>
    <row r="148" spans="3:3">
      <c r="C148" s="469"/>
    </row>
    <row r="149" spans="3:3">
      <c r="C149" s="469"/>
    </row>
    <row r="150" spans="3:3">
      <c r="C150" s="469"/>
    </row>
    <row r="151" spans="3:3">
      <c r="C151" s="469"/>
    </row>
    <row r="152" spans="3:3">
      <c r="C152" s="469"/>
    </row>
    <row r="153" spans="3:3">
      <c r="C153" s="469"/>
    </row>
    <row r="154" spans="3:3">
      <c r="C154" s="469"/>
    </row>
    <row r="155" spans="3:3">
      <c r="C155" s="469"/>
    </row>
    <row r="156" spans="3:3">
      <c r="C156" s="469"/>
    </row>
    <row r="157" spans="3:3">
      <c r="C157" s="469"/>
    </row>
    <row r="158" spans="3:3">
      <c r="C158" s="469"/>
    </row>
    <row r="159" spans="3:3">
      <c r="C159" s="469"/>
    </row>
    <row r="160" spans="3:3">
      <c r="C160" s="469"/>
    </row>
    <row r="161" spans="3:3">
      <c r="C161" s="469"/>
    </row>
    <row r="162" spans="3:3">
      <c r="C162" s="469"/>
    </row>
    <row r="163" spans="3:3">
      <c r="C163" s="469"/>
    </row>
    <row r="164" spans="3:3">
      <c r="C164" s="469"/>
    </row>
    <row r="165" spans="3:3">
      <c r="C165" s="469"/>
    </row>
    <row r="166" spans="3:3">
      <c r="C166" s="469"/>
    </row>
    <row r="167" spans="3:3">
      <c r="C167" s="469"/>
    </row>
    <row r="168" spans="3:3">
      <c r="C168" s="469"/>
    </row>
    <row r="169" spans="3:3">
      <c r="C169" s="469"/>
    </row>
    <row r="170" spans="3:3">
      <c r="C170" s="469"/>
    </row>
    <row r="171" spans="3:3">
      <c r="C171" s="469"/>
    </row>
    <row r="172" spans="3:3">
      <c r="C172" s="469"/>
    </row>
    <row r="173" spans="3:3">
      <c r="C173" s="469"/>
    </row>
    <row r="174" spans="3:3">
      <c r="C174" s="469"/>
    </row>
    <row r="175" spans="3:3">
      <c r="C175" s="469"/>
    </row>
    <row r="176" spans="3:3">
      <c r="C176" s="469"/>
    </row>
    <row r="177" spans="3:3">
      <c r="C177" s="469"/>
    </row>
    <row r="178" spans="3:3">
      <c r="C178" s="469"/>
    </row>
    <row r="179" spans="3:3">
      <c r="C179" s="469"/>
    </row>
    <row r="180" spans="3:3">
      <c r="C180" s="469"/>
    </row>
    <row r="181" spans="3:3">
      <c r="C181" s="469"/>
    </row>
    <row r="182" spans="3:3">
      <c r="C182" s="469"/>
    </row>
    <row r="183" spans="3:3">
      <c r="C183" s="469"/>
    </row>
    <row r="184" spans="3:3">
      <c r="C184" s="469"/>
    </row>
    <row r="185" spans="3:3">
      <c r="C185" s="469"/>
    </row>
    <row r="186" spans="3:3">
      <c r="C186" s="469"/>
    </row>
    <row r="187" spans="3:3">
      <c r="C187" s="469"/>
    </row>
    <row r="188" spans="3:3">
      <c r="C188" s="469"/>
    </row>
    <row r="189" spans="3:3">
      <c r="C189" s="469"/>
    </row>
    <row r="190" spans="3:3">
      <c r="C190" s="469"/>
    </row>
    <row r="191" spans="3:3">
      <c r="C191" s="469"/>
    </row>
    <row r="192" spans="3:3">
      <c r="C192" s="469"/>
    </row>
    <row r="193" spans="3:3">
      <c r="C193" s="469"/>
    </row>
    <row r="194" spans="3:3">
      <c r="C194" s="469"/>
    </row>
    <row r="195" spans="3:3">
      <c r="C195" s="469"/>
    </row>
    <row r="196" spans="3:3">
      <c r="C196" s="469"/>
    </row>
    <row r="197" spans="3:3">
      <c r="C197" s="469"/>
    </row>
    <row r="198" spans="3:3">
      <c r="C198" s="469"/>
    </row>
    <row r="199" spans="3:3">
      <c r="C199" s="469"/>
    </row>
    <row r="200" spans="3:3">
      <c r="C200" s="469"/>
    </row>
    <row r="201" spans="3:3">
      <c r="C201" s="469"/>
    </row>
    <row r="202" spans="3:3">
      <c r="C202" s="469"/>
    </row>
    <row r="203" spans="3:3">
      <c r="C203" s="469"/>
    </row>
    <row r="204" spans="3:3">
      <c r="C204" s="469"/>
    </row>
    <row r="205" spans="3:3">
      <c r="C205" s="469"/>
    </row>
    <row r="206" spans="3:3">
      <c r="C206" s="469"/>
    </row>
    <row r="207" spans="3:3">
      <c r="C207" s="469"/>
    </row>
    <row r="208" spans="3:3">
      <c r="C208" s="469"/>
    </row>
    <row r="209" spans="3:3">
      <c r="C209" s="469"/>
    </row>
    <row r="210" spans="3:3">
      <c r="C210" s="469"/>
    </row>
    <row r="211" spans="3:3">
      <c r="C211" s="469"/>
    </row>
    <row r="212" spans="3:3">
      <c r="C212" s="469"/>
    </row>
    <row r="213" spans="3:3">
      <c r="C213" s="469"/>
    </row>
    <row r="214" spans="3:3">
      <c r="C214" s="469"/>
    </row>
    <row r="215" spans="3:3">
      <c r="C215" s="469"/>
    </row>
    <row r="216" spans="3:3">
      <c r="C216" s="469"/>
    </row>
    <row r="217" spans="3:3">
      <c r="C217" s="469"/>
    </row>
    <row r="218" spans="3:3">
      <c r="C218" s="469"/>
    </row>
    <row r="219" spans="3:3">
      <c r="C219" s="469"/>
    </row>
    <row r="220" spans="3:3">
      <c r="C220" s="469"/>
    </row>
    <row r="221" spans="3:3">
      <c r="C221" s="469"/>
    </row>
    <row r="222" spans="3:3">
      <c r="C222" s="469"/>
    </row>
    <row r="223" spans="3:3">
      <c r="C223" s="469"/>
    </row>
    <row r="224" spans="3:3">
      <c r="C224" s="469"/>
    </row>
    <row r="225" spans="3:3">
      <c r="C225" s="469"/>
    </row>
    <row r="226" spans="3:3">
      <c r="C226" s="469"/>
    </row>
    <row r="227" spans="3:3">
      <c r="C227" s="469"/>
    </row>
    <row r="228" spans="3:3">
      <c r="C228" s="469"/>
    </row>
    <row r="229" spans="3:3">
      <c r="C229" s="469"/>
    </row>
    <row r="230" spans="3:3">
      <c r="C230" s="469"/>
    </row>
    <row r="231" spans="3:3">
      <c r="C231" s="469"/>
    </row>
    <row r="232" spans="3:3">
      <c r="C232" s="469"/>
    </row>
    <row r="233" spans="3:3">
      <c r="C233" s="469"/>
    </row>
    <row r="234" spans="3:3">
      <c r="C234" s="469"/>
    </row>
    <row r="235" spans="3:3">
      <c r="C235" s="469"/>
    </row>
    <row r="236" spans="3:3">
      <c r="C236" s="469"/>
    </row>
    <row r="237" spans="3:3">
      <c r="C237" s="469"/>
    </row>
    <row r="238" spans="3:3">
      <c r="C238" s="469"/>
    </row>
    <row r="239" spans="3:3">
      <c r="C239" s="469"/>
    </row>
    <row r="240" spans="3:3">
      <c r="C240" s="469"/>
    </row>
    <row r="241" spans="3:3">
      <c r="C241" s="469"/>
    </row>
    <row r="242" spans="3:3">
      <c r="C242" s="469"/>
    </row>
    <row r="243" spans="3:3">
      <c r="C243" s="469"/>
    </row>
    <row r="244" spans="3:3">
      <c r="C244" s="469"/>
    </row>
    <row r="245" spans="3:3">
      <c r="C245" s="469"/>
    </row>
    <row r="246" spans="3:3">
      <c r="C246" s="469"/>
    </row>
    <row r="247" spans="3:3">
      <c r="C247" s="469"/>
    </row>
    <row r="248" spans="3:3">
      <c r="C248" s="469"/>
    </row>
    <row r="249" spans="3:3">
      <c r="C249" s="469"/>
    </row>
    <row r="250" spans="3:3">
      <c r="C250" s="469"/>
    </row>
    <row r="251" spans="3:3">
      <c r="C251" s="469"/>
    </row>
    <row r="252" spans="3:3">
      <c r="C252" s="469"/>
    </row>
    <row r="253" spans="3:3">
      <c r="C253" s="469"/>
    </row>
    <row r="254" spans="3:3">
      <c r="C254" s="469"/>
    </row>
    <row r="255" spans="3:3">
      <c r="C255" s="469"/>
    </row>
    <row r="256" spans="3:3">
      <c r="C256" s="469"/>
    </row>
    <row r="257" spans="3:3">
      <c r="C257" s="469"/>
    </row>
    <row r="258" spans="3:3">
      <c r="C258" s="469"/>
    </row>
    <row r="259" spans="3:3">
      <c r="C259" s="469"/>
    </row>
    <row r="260" spans="3:3">
      <c r="C260" s="469"/>
    </row>
    <row r="261" spans="3:3">
      <c r="C261" s="469"/>
    </row>
    <row r="262" spans="3:3">
      <c r="C262" s="469"/>
    </row>
    <row r="263" spans="3:3">
      <c r="C263" s="469"/>
    </row>
    <row r="264" spans="3:3">
      <c r="C264" s="469"/>
    </row>
    <row r="265" spans="3:3">
      <c r="C265" s="469"/>
    </row>
    <row r="266" spans="3:3">
      <c r="C266" s="469"/>
    </row>
    <row r="267" spans="3:3">
      <c r="C267" s="469"/>
    </row>
    <row r="268" spans="3:3">
      <c r="C268" s="469"/>
    </row>
    <row r="269" spans="3:3">
      <c r="C269" s="469"/>
    </row>
    <row r="270" spans="3:3">
      <c r="C270" s="469"/>
    </row>
    <row r="271" spans="3:3">
      <c r="C271" s="469"/>
    </row>
    <row r="272" spans="3:3">
      <c r="C272" s="469"/>
    </row>
    <row r="273" spans="3:3">
      <c r="C273" s="469"/>
    </row>
    <row r="274" spans="3:3">
      <c r="C274" s="469"/>
    </row>
    <row r="275" spans="3:3">
      <c r="C275" s="469"/>
    </row>
    <row r="276" spans="3:3">
      <c r="C276" s="469"/>
    </row>
    <row r="277" spans="3:3">
      <c r="C277" s="469"/>
    </row>
    <row r="278" spans="3:3">
      <c r="C278" s="469"/>
    </row>
    <row r="279" spans="3:3">
      <c r="C279" s="469"/>
    </row>
    <row r="280" spans="3:3">
      <c r="C280" s="469"/>
    </row>
    <row r="281" spans="3:3">
      <c r="C281" s="469"/>
    </row>
    <row r="282" spans="3:3">
      <c r="C282" s="469"/>
    </row>
    <row r="283" spans="3:3">
      <c r="C283" s="469"/>
    </row>
    <row r="284" spans="3:3">
      <c r="C284" s="469"/>
    </row>
    <row r="285" spans="3:3">
      <c r="C285" s="469"/>
    </row>
    <row r="286" spans="3:3">
      <c r="C286" s="469"/>
    </row>
    <row r="287" spans="3:3">
      <c r="C287" s="469"/>
    </row>
    <row r="288" spans="3:3">
      <c r="C288" s="469"/>
    </row>
    <row r="289" spans="3:3">
      <c r="C289" s="469"/>
    </row>
    <row r="290" spans="3:3">
      <c r="C290" s="469"/>
    </row>
    <row r="291" spans="3:3">
      <c r="C291" s="469"/>
    </row>
    <row r="292" spans="3:3">
      <c r="C292" s="469"/>
    </row>
    <row r="293" spans="3:3">
      <c r="C293" s="469"/>
    </row>
    <row r="294" spans="3:3">
      <c r="C294" s="469"/>
    </row>
    <row r="295" spans="3:3">
      <c r="C295" s="469"/>
    </row>
    <row r="296" spans="3:3">
      <c r="C296" s="469"/>
    </row>
    <row r="297" spans="3:3">
      <c r="C297" s="469"/>
    </row>
    <row r="298" spans="3:3">
      <c r="C298" s="469"/>
    </row>
    <row r="299" spans="3:3">
      <c r="C299" s="469"/>
    </row>
    <row r="300" spans="3:3">
      <c r="C300" s="469"/>
    </row>
    <row r="301" spans="3:3">
      <c r="C301" s="469"/>
    </row>
    <row r="302" spans="3:3">
      <c r="C302" s="469"/>
    </row>
    <row r="303" spans="3:3">
      <c r="C303" s="469"/>
    </row>
    <row r="304" spans="3:3">
      <c r="C304" s="469"/>
    </row>
    <row r="305" spans="3:3">
      <c r="C305" s="469"/>
    </row>
    <row r="306" spans="3:3">
      <c r="C306" s="469"/>
    </row>
    <row r="307" spans="3:3">
      <c r="C307" s="469"/>
    </row>
    <row r="308" spans="3:3">
      <c r="C308" s="469"/>
    </row>
    <row r="309" spans="3:3">
      <c r="C309" s="469"/>
    </row>
    <row r="310" spans="3:3">
      <c r="C310" s="469"/>
    </row>
    <row r="311" spans="3:3">
      <c r="C311" s="469"/>
    </row>
    <row r="312" spans="3:3">
      <c r="C312" s="469"/>
    </row>
    <row r="313" spans="3:3">
      <c r="C313" s="469"/>
    </row>
    <row r="314" spans="3:3">
      <c r="C314" s="469"/>
    </row>
    <row r="315" spans="3:3">
      <c r="C315" s="469"/>
    </row>
    <row r="316" spans="3:3">
      <c r="C316" s="469"/>
    </row>
    <row r="317" spans="3:3">
      <c r="C317" s="469"/>
    </row>
    <row r="318" spans="3:3">
      <c r="C318" s="469"/>
    </row>
    <row r="319" spans="3:3">
      <c r="C319" s="469"/>
    </row>
    <row r="320" spans="3:3">
      <c r="C320" s="469"/>
    </row>
    <row r="321" spans="3:3">
      <c r="C321" s="469"/>
    </row>
    <row r="322" spans="3:3">
      <c r="C322" s="469"/>
    </row>
    <row r="323" spans="3:3">
      <c r="C323" s="469"/>
    </row>
    <row r="324" spans="3:3">
      <c r="C324" s="469"/>
    </row>
    <row r="325" spans="3:3">
      <c r="C325" s="469"/>
    </row>
    <row r="326" spans="3:3">
      <c r="C326" s="469"/>
    </row>
    <row r="327" spans="3:3">
      <c r="C327" s="469"/>
    </row>
    <row r="328" spans="3:3">
      <c r="C328" s="469"/>
    </row>
    <row r="329" spans="3:3">
      <c r="C329" s="469"/>
    </row>
    <row r="330" spans="3:3">
      <c r="C330" s="469"/>
    </row>
    <row r="331" spans="3:3">
      <c r="C331" s="469"/>
    </row>
    <row r="332" spans="3:3">
      <c r="C332" s="469"/>
    </row>
    <row r="333" spans="3:3">
      <c r="C333" s="469"/>
    </row>
    <row r="334" spans="3:3">
      <c r="C334" s="469"/>
    </row>
    <row r="335" spans="3:3">
      <c r="C335" s="469"/>
    </row>
    <row r="336" spans="3:3">
      <c r="C336" s="469"/>
    </row>
    <row r="337" spans="3:3">
      <c r="C337" s="469"/>
    </row>
    <row r="338" spans="3:3">
      <c r="C338" s="469"/>
    </row>
    <row r="339" spans="3:3">
      <c r="C339" s="469"/>
    </row>
    <row r="340" spans="3:3">
      <c r="C340" s="469"/>
    </row>
    <row r="341" spans="3:3">
      <c r="C341" s="469"/>
    </row>
    <row r="342" spans="3:3">
      <c r="C342" s="469"/>
    </row>
    <row r="343" spans="3:3">
      <c r="C343" s="469"/>
    </row>
    <row r="344" spans="3:3">
      <c r="C344" s="469"/>
    </row>
    <row r="345" spans="3:3">
      <c r="C345" s="469"/>
    </row>
    <row r="346" spans="3:3">
      <c r="C346" s="469"/>
    </row>
    <row r="347" spans="3:3">
      <c r="C347" s="469"/>
    </row>
    <row r="348" spans="3:3">
      <c r="C348" s="469"/>
    </row>
    <row r="349" spans="3:3">
      <c r="C349" s="469"/>
    </row>
    <row r="350" spans="3:3">
      <c r="C350" s="469"/>
    </row>
    <row r="351" spans="3:3">
      <c r="C351" s="469"/>
    </row>
    <row r="352" spans="3:3">
      <c r="C352" s="469"/>
    </row>
    <row r="353" spans="3:3">
      <c r="C353" s="469"/>
    </row>
    <row r="354" spans="3:3">
      <c r="C354" s="469"/>
    </row>
    <row r="355" spans="3:3">
      <c r="C355" s="469"/>
    </row>
    <row r="356" spans="3:3">
      <c r="C356" s="469"/>
    </row>
    <row r="357" spans="3:3">
      <c r="C357" s="469"/>
    </row>
    <row r="358" spans="3:3">
      <c r="C358" s="469"/>
    </row>
    <row r="359" spans="3:3">
      <c r="C359" s="469"/>
    </row>
    <row r="360" spans="3:3">
      <c r="C360" s="469"/>
    </row>
    <row r="361" spans="3:3">
      <c r="C361" s="469"/>
    </row>
    <row r="362" spans="3:3">
      <c r="C362" s="469"/>
    </row>
    <row r="363" spans="3:3">
      <c r="C363" s="469"/>
    </row>
    <row r="364" spans="3:3">
      <c r="C364" s="469"/>
    </row>
    <row r="365" spans="3:3">
      <c r="C365" s="469"/>
    </row>
    <row r="366" spans="3:3">
      <c r="C366" s="469"/>
    </row>
    <row r="367" spans="3:3">
      <c r="C367" s="469"/>
    </row>
    <row r="368" spans="3:3">
      <c r="C368" s="469"/>
    </row>
    <row r="369" spans="3:3">
      <c r="C369" s="469"/>
    </row>
    <row r="370" spans="3:3">
      <c r="C370" s="469"/>
    </row>
    <row r="371" spans="3:3">
      <c r="C371" s="469"/>
    </row>
    <row r="372" spans="3:3">
      <c r="C372" s="469"/>
    </row>
    <row r="373" spans="3:3">
      <c r="C373" s="469"/>
    </row>
    <row r="374" spans="3:3">
      <c r="C374" s="469"/>
    </row>
    <row r="375" spans="3:3">
      <c r="C375" s="469"/>
    </row>
    <row r="376" spans="3:3">
      <c r="C376" s="469"/>
    </row>
    <row r="377" spans="3:3">
      <c r="C377" s="469"/>
    </row>
    <row r="378" spans="3:3">
      <c r="C378" s="469"/>
    </row>
    <row r="379" spans="3:3">
      <c r="C379" s="469"/>
    </row>
    <row r="380" spans="3:3">
      <c r="C380" s="469"/>
    </row>
    <row r="381" spans="3:3">
      <c r="C381" s="469"/>
    </row>
    <row r="382" spans="3:3">
      <c r="C382" s="469"/>
    </row>
    <row r="383" spans="3:3">
      <c r="C383" s="469"/>
    </row>
    <row r="384" spans="3:3">
      <c r="C384" s="469"/>
    </row>
    <row r="385" spans="3:3">
      <c r="C385" s="469"/>
    </row>
    <row r="386" spans="3:3">
      <c r="C386" s="469"/>
    </row>
    <row r="387" spans="3:3">
      <c r="C387" s="469"/>
    </row>
    <row r="388" spans="3:3">
      <c r="C388" s="469"/>
    </row>
    <row r="389" spans="3:3">
      <c r="C389" s="469"/>
    </row>
    <row r="390" spans="3:3">
      <c r="C390" s="469"/>
    </row>
    <row r="391" spans="3:3">
      <c r="C391" s="469"/>
    </row>
    <row r="392" spans="3:3">
      <c r="C392" s="469"/>
    </row>
    <row r="393" spans="3:3">
      <c r="C393" s="469"/>
    </row>
    <row r="394" spans="3:3">
      <c r="C394" s="469"/>
    </row>
    <row r="395" spans="3:3">
      <c r="C395" s="469"/>
    </row>
    <row r="396" spans="3:3">
      <c r="C396" s="469"/>
    </row>
    <row r="397" spans="3:3">
      <c r="C397" s="469"/>
    </row>
    <row r="398" spans="3:3">
      <c r="C398" s="469"/>
    </row>
    <row r="399" spans="3:3">
      <c r="C399" s="469"/>
    </row>
    <row r="400" spans="3:3">
      <c r="C400" s="469"/>
    </row>
    <row r="401" spans="3:3">
      <c r="C401" s="469"/>
    </row>
    <row r="402" spans="3:3">
      <c r="C402" s="469"/>
    </row>
    <row r="403" spans="3:3">
      <c r="C403" s="469"/>
    </row>
    <row r="404" spans="3:3">
      <c r="C404" s="469"/>
    </row>
    <row r="405" spans="3:3">
      <c r="C405" s="469"/>
    </row>
    <row r="406" spans="3:3">
      <c r="C406" s="469"/>
    </row>
    <row r="407" spans="3:3">
      <c r="C407" s="469"/>
    </row>
    <row r="408" spans="3:3">
      <c r="C408" s="469"/>
    </row>
    <row r="409" spans="3:3">
      <c r="C409" s="469"/>
    </row>
    <row r="410" spans="3:3">
      <c r="C410" s="469"/>
    </row>
    <row r="411" spans="3:3">
      <c r="C411" s="469"/>
    </row>
    <row r="412" spans="3:3">
      <c r="C412" s="469"/>
    </row>
    <row r="413" spans="3:3">
      <c r="C413" s="469"/>
    </row>
    <row r="414" spans="3:3">
      <c r="C414" s="469"/>
    </row>
    <row r="415" spans="3:3">
      <c r="C415" s="469"/>
    </row>
    <row r="416" spans="3:3">
      <c r="C416" s="469"/>
    </row>
    <row r="417" spans="3:3">
      <c r="C417" s="469"/>
    </row>
    <row r="418" spans="3:3">
      <c r="C418" s="469"/>
    </row>
    <row r="419" spans="3:3">
      <c r="C419" s="469"/>
    </row>
    <row r="420" spans="3:3">
      <c r="C420" s="469"/>
    </row>
    <row r="421" spans="3:3">
      <c r="C421" s="469"/>
    </row>
    <row r="422" spans="3:3">
      <c r="C422" s="469"/>
    </row>
    <row r="423" spans="3:3">
      <c r="C423" s="469"/>
    </row>
    <row r="424" spans="3:3">
      <c r="C424" s="469"/>
    </row>
    <row r="425" spans="3:3">
      <c r="C425" s="469"/>
    </row>
    <row r="426" spans="3:3">
      <c r="C426" s="469"/>
    </row>
    <row r="427" spans="3:3">
      <c r="C427" s="469"/>
    </row>
    <row r="428" spans="3:3">
      <c r="C428" s="469"/>
    </row>
    <row r="429" spans="3:3">
      <c r="C429" s="469"/>
    </row>
    <row r="430" spans="3:3">
      <c r="C430" s="469"/>
    </row>
    <row r="431" spans="3:3">
      <c r="C431" s="469"/>
    </row>
    <row r="432" spans="3:3">
      <c r="C432" s="469"/>
    </row>
    <row r="433" spans="3:3">
      <c r="C433" s="469"/>
    </row>
    <row r="434" spans="3:3">
      <c r="C434" s="469"/>
    </row>
    <row r="435" spans="3:3">
      <c r="C435" s="469"/>
    </row>
    <row r="436" spans="3:3">
      <c r="C436" s="469"/>
    </row>
    <row r="437" spans="3:3">
      <c r="C437" s="469"/>
    </row>
    <row r="438" spans="3:3">
      <c r="C438" s="469"/>
    </row>
    <row r="439" spans="3:3">
      <c r="C439" s="469"/>
    </row>
    <row r="440" spans="3:3">
      <c r="C440" s="469"/>
    </row>
    <row r="441" spans="3:3">
      <c r="C441" s="469"/>
    </row>
    <row r="442" spans="3:3">
      <c r="C442" s="469"/>
    </row>
    <row r="443" spans="3:3">
      <c r="C443" s="469"/>
    </row>
    <row r="444" spans="3:3">
      <c r="C444" s="469"/>
    </row>
    <row r="445" spans="3:3">
      <c r="C445" s="469"/>
    </row>
    <row r="446" spans="3:3">
      <c r="C446" s="469"/>
    </row>
    <row r="447" spans="3:3">
      <c r="C447" s="469"/>
    </row>
    <row r="448" spans="3:3">
      <c r="C448" s="469"/>
    </row>
    <row r="449" spans="3:3">
      <c r="C449" s="469"/>
    </row>
    <row r="450" spans="3:3">
      <c r="C450" s="469"/>
    </row>
    <row r="451" spans="3:3">
      <c r="C451" s="469"/>
    </row>
    <row r="452" spans="3:3">
      <c r="C452" s="469"/>
    </row>
    <row r="453" spans="3:3">
      <c r="C453" s="469"/>
    </row>
    <row r="454" spans="3:3">
      <c r="C454" s="469"/>
    </row>
    <row r="455" spans="3:3">
      <c r="C455" s="469"/>
    </row>
    <row r="456" spans="3:3">
      <c r="C456" s="469"/>
    </row>
    <row r="457" spans="3:3">
      <c r="C457" s="469"/>
    </row>
    <row r="458" spans="3:3">
      <c r="C458" s="469"/>
    </row>
    <row r="459" spans="3:3">
      <c r="C459" s="469"/>
    </row>
    <row r="460" spans="3:3">
      <c r="C460" s="469"/>
    </row>
    <row r="461" spans="3:3">
      <c r="C461" s="469"/>
    </row>
    <row r="462" spans="3:3">
      <c r="C462" s="469"/>
    </row>
    <row r="463" spans="3:3">
      <c r="C463" s="469"/>
    </row>
    <row r="464" spans="3:3">
      <c r="C464" s="469"/>
    </row>
    <row r="465" spans="3:3">
      <c r="C465" s="469"/>
    </row>
    <row r="466" spans="3:3">
      <c r="C466" s="469"/>
    </row>
    <row r="467" spans="3:3">
      <c r="C467" s="469"/>
    </row>
    <row r="468" spans="3:3">
      <c r="C468" s="469"/>
    </row>
    <row r="469" spans="3:3">
      <c r="C469" s="469"/>
    </row>
    <row r="470" spans="3:3">
      <c r="C470" s="469"/>
    </row>
    <row r="471" spans="3:3">
      <c r="C471" s="469"/>
    </row>
    <row r="472" spans="3:3">
      <c r="C472" s="469"/>
    </row>
    <row r="473" spans="3:3">
      <c r="C473" s="469"/>
    </row>
    <row r="474" spans="3:3">
      <c r="C474" s="469"/>
    </row>
    <row r="475" spans="3:3">
      <c r="C475" s="469"/>
    </row>
    <row r="476" spans="3:3">
      <c r="C476" s="469"/>
    </row>
    <row r="477" spans="3:3">
      <c r="C477" s="469"/>
    </row>
    <row r="478" spans="3:3">
      <c r="C478" s="469"/>
    </row>
    <row r="479" spans="3:3">
      <c r="C479" s="469"/>
    </row>
    <row r="480" spans="3:3">
      <c r="C480" s="469"/>
    </row>
    <row r="481" spans="3:3">
      <c r="C481" s="469"/>
    </row>
    <row r="482" spans="3:3">
      <c r="C482" s="469"/>
    </row>
    <row r="483" spans="3:3">
      <c r="C483" s="469"/>
    </row>
    <row r="484" spans="3:3">
      <c r="C484" s="469"/>
    </row>
    <row r="485" spans="3:3">
      <c r="C485" s="469"/>
    </row>
    <row r="486" spans="3:3">
      <c r="C486" s="469"/>
    </row>
    <row r="487" spans="3:3">
      <c r="C487" s="469"/>
    </row>
    <row r="488" spans="3:3">
      <c r="C488" s="469"/>
    </row>
    <row r="489" spans="3:3">
      <c r="C489" s="469"/>
    </row>
    <row r="490" spans="3:3">
      <c r="C490" s="469"/>
    </row>
    <row r="491" spans="3:3">
      <c r="C491" s="469"/>
    </row>
    <row r="492" spans="3:3">
      <c r="C492" s="469"/>
    </row>
    <row r="493" spans="3:3">
      <c r="C493" s="469"/>
    </row>
    <row r="494" spans="3:3">
      <c r="C494" s="469"/>
    </row>
    <row r="495" spans="3:3">
      <c r="C495" s="469"/>
    </row>
    <row r="496" spans="3:3">
      <c r="C496" s="469"/>
    </row>
    <row r="497" spans="3:3">
      <c r="C497" s="469"/>
    </row>
    <row r="498" spans="3:3">
      <c r="C498" s="469"/>
    </row>
    <row r="499" spans="3:3">
      <c r="C499" s="469"/>
    </row>
    <row r="500" spans="3:3">
      <c r="C500" s="469"/>
    </row>
    <row r="501" spans="3:3">
      <c r="C501" s="469"/>
    </row>
    <row r="502" spans="3:3">
      <c r="C502" s="469"/>
    </row>
    <row r="503" spans="3:3">
      <c r="C503" s="469"/>
    </row>
    <row r="504" spans="3:3">
      <c r="C504" s="469"/>
    </row>
    <row r="505" spans="3:3">
      <c r="C505" s="469"/>
    </row>
    <row r="506" spans="3:3">
      <c r="C506" s="469"/>
    </row>
    <row r="507" spans="3:3">
      <c r="C507" s="469"/>
    </row>
    <row r="508" spans="3:3">
      <c r="C508" s="469"/>
    </row>
    <row r="509" spans="3:3">
      <c r="C509" s="469"/>
    </row>
    <row r="510" spans="3:3">
      <c r="C510" s="469"/>
    </row>
    <row r="511" spans="3:3">
      <c r="C511" s="469"/>
    </row>
    <row r="512" spans="3:3">
      <c r="C512" s="469"/>
    </row>
    <row r="513" spans="3:3">
      <c r="C513" s="469"/>
    </row>
    <row r="514" spans="3:3">
      <c r="C514" s="469"/>
    </row>
    <row r="515" spans="3:3">
      <c r="C515" s="469"/>
    </row>
    <row r="516" spans="3:3">
      <c r="C516" s="469"/>
    </row>
    <row r="517" spans="3:3">
      <c r="C517" s="469"/>
    </row>
    <row r="518" spans="3:3">
      <c r="C518" s="469"/>
    </row>
    <row r="519" spans="3:3">
      <c r="C519" s="469"/>
    </row>
    <row r="520" spans="3:3">
      <c r="C520" s="469"/>
    </row>
    <row r="521" spans="3:3">
      <c r="C521" s="469"/>
    </row>
    <row r="522" spans="3:3">
      <c r="C522" s="469"/>
    </row>
    <row r="523" spans="3:3">
      <c r="C523" s="469"/>
    </row>
    <row r="524" spans="3:3">
      <c r="C524" s="469"/>
    </row>
    <row r="525" spans="3:3">
      <c r="C525" s="469"/>
    </row>
    <row r="526" spans="3:3">
      <c r="C526" s="469"/>
    </row>
    <row r="527" spans="3:3">
      <c r="C527" s="469"/>
    </row>
    <row r="528" spans="3:3">
      <c r="C528" s="469"/>
    </row>
    <row r="529" spans="3:3">
      <c r="C529" s="469"/>
    </row>
    <row r="530" spans="3:3">
      <c r="C530" s="469"/>
    </row>
    <row r="531" spans="3:3">
      <c r="C531" s="469"/>
    </row>
    <row r="532" spans="3:3">
      <c r="C532" s="469"/>
    </row>
    <row r="533" spans="3:3">
      <c r="C533" s="469"/>
    </row>
    <row r="534" spans="3:3">
      <c r="C534" s="469"/>
    </row>
    <row r="535" spans="3:3">
      <c r="C535" s="469"/>
    </row>
    <row r="536" spans="3:3">
      <c r="C536" s="469"/>
    </row>
    <row r="537" spans="3:3">
      <c r="C537" s="469"/>
    </row>
    <row r="538" spans="3:3">
      <c r="C538" s="469"/>
    </row>
    <row r="539" spans="3:3">
      <c r="C539" s="469"/>
    </row>
    <row r="540" spans="3:3">
      <c r="C540" s="469"/>
    </row>
    <row r="541" spans="3:3">
      <c r="C541" s="469"/>
    </row>
    <row r="542" spans="3:3">
      <c r="C542" s="469"/>
    </row>
    <row r="543" spans="3:3">
      <c r="C543" s="469"/>
    </row>
    <row r="544" spans="3:3">
      <c r="C544" s="469"/>
    </row>
    <row r="545" spans="3:3">
      <c r="C545" s="469"/>
    </row>
    <row r="546" spans="3:3">
      <c r="C546" s="469"/>
    </row>
    <row r="547" spans="3:3">
      <c r="C547" s="469"/>
    </row>
    <row r="548" spans="3:3">
      <c r="C548" s="469"/>
    </row>
    <row r="549" spans="3:3">
      <c r="C549" s="469"/>
    </row>
    <row r="550" spans="3:3">
      <c r="C550" s="469"/>
    </row>
    <row r="551" spans="3:3">
      <c r="C551" s="469"/>
    </row>
    <row r="552" spans="3:3">
      <c r="C552" s="469"/>
    </row>
    <row r="553" spans="3:3">
      <c r="C553" s="469"/>
    </row>
    <row r="554" spans="3:3">
      <c r="C554" s="469"/>
    </row>
    <row r="555" spans="3:3">
      <c r="C555" s="469"/>
    </row>
    <row r="556" spans="3:3">
      <c r="C556" s="469"/>
    </row>
    <row r="557" spans="3:3">
      <c r="C557" s="469"/>
    </row>
    <row r="558" spans="3:3">
      <c r="C558" s="469"/>
    </row>
    <row r="559" spans="3:3">
      <c r="C559" s="469"/>
    </row>
    <row r="560" spans="3:3">
      <c r="C560" s="469"/>
    </row>
    <row r="561" spans="3:3">
      <c r="C561" s="469"/>
    </row>
    <row r="562" spans="3:3">
      <c r="C562" s="469"/>
    </row>
    <row r="563" spans="3:3">
      <c r="C563" s="469"/>
    </row>
    <row r="564" spans="3:3">
      <c r="C564" s="469"/>
    </row>
    <row r="565" spans="3:3">
      <c r="C565" s="469"/>
    </row>
    <row r="566" spans="3:3">
      <c r="C566" s="469"/>
    </row>
    <row r="567" spans="3:3">
      <c r="C567" s="469"/>
    </row>
    <row r="568" spans="3:3">
      <c r="C568" s="469"/>
    </row>
    <row r="569" spans="3:3">
      <c r="C569" s="469"/>
    </row>
    <row r="570" spans="3:3">
      <c r="C570" s="469"/>
    </row>
    <row r="571" spans="3:3">
      <c r="C571" s="469"/>
    </row>
    <row r="572" spans="3:3">
      <c r="C572" s="469"/>
    </row>
    <row r="573" spans="3:3">
      <c r="C573" s="469"/>
    </row>
    <row r="574" spans="3:3">
      <c r="C574" s="469"/>
    </row>
    <row r="575" spans="3:3">
      <c r="C575" s="469"/>
    </row>
    <row r="576" spans="3:3">
      <c r="C576" s="469"/>
    </row>
    <row r="577" spans="3:3">
      <c r="C577" s="469"/>
    </row>
    <row r="578" spans="3:3">
      <c r="C578" s="469"/>
    </row>
    <row r="579" spans="3:3">
      <c r="C579" s="469"/>
    </row>
    <row r="580" spans="3:3">
      <c r="C580" s="469"/>
    </row>
    <row r="581" spans="3:3">
      <c r="C581" s="469"/>
    </row>
    <row r="582" spans="3:3">
      <c r="C582" s="469"/>
    </row>
    <row r="583" spans="3:3">
      <c r="C583" s="469"/>
    </row>
    <row r="584" spans="3:3">
      <c r="C584" s="469"/>
    </row>
    <row r="585" spans="3:3">
      <c r="C585" s="469"/>
    </row>
    <row r="586" spans="3:3">
      <c r="C586" s="469"/>
    </row>
    <row r="587" spans="3:3">
      <c r="C587" s="469"/>
    </row>
    <row r="588" spans="3:3">
      <c r="C588" s="469"/>
    </row>
    <row r="589" spans="3:3">
      <c r="C589" s="469"/>
    </row>
    <row r="590" spans="3:3">
      <c r="C590" s="469"/>
    </row>
    <row r="591" spans="3:3">
      <c r="C591" s="469"/>
    </row>
    <row r="592" spans="3:3">
      <c r="C592" s="469"/>
    </row>
    <row r="593" spans="3:3">
      <c r="C593" s="469"/>
    </row>
    <row r="594" spans="3:3">
      <c r="C594" s="469"/>
    </row>
    <row r="595" spans="3:3">
      <c r="C595" s="469"/>
    </row>
  </sheetData>
  <sheetProtection algorithmName="SHA-512" hashValue="OCXYfTRy4uMmiWg5c15KDqK6CgKsE11x9i4DIwPyCaxTrt9H0lkA0CGNjQlUEuyMsZAhLwgJnz6eGKVvcb718A==" saltValue="IKNqwDQHA+jmJevp+DNyxQ==" spinCount="100000" sheet="1" objects="1" scenarios="1"/>
  <mergeCells count="18">
    <mergeCell ref="A1:B1"/>
    <mergeCell ref="C2:E2"/>
    <mergeCell ref="F2:I2"/>
    <mergeCell ref="C1:I1"/>
    <mergeCell ref="K1:L1"/>
    <mergeCell ref="AC1:AI1"/>
    <mergeCell ref="AC2:AE2"/>
    <mergeCell ref="AF2:AI2"/>
    <mergeCell ref="C38:D38"/>
    <mergeCell ref="C34:D34"/>
    <mergeCell ref="C36:D36"/>
    <mergeCell ref="C32:E32"/>
    <mergeCell ref="U1:AA1"/>
    <mergeCell ref="U2:W2"/>
    <mergeCell ref="X2:AA2"/>
    <mergeCell ref="M1:S1"/>
    <mergeCell ref="M2:O2"/>
    <mergeCell ref="P2:S2"/>
  </mergeCells>
  <pageMargins left="0" right="0" top="0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6">
    <tabColor theme="1" tint="0.499984740745262"/>
  </sheetPr>
  <dimension ref="A1:H73"/>
  <sheetViews>
    <sheetView showGridLines="0" showRowColHeaders="0" zoomScaleNormal="100" workbookViewId="0">
      <selection activeCell="B5" sqref="B5"/>
    </sheetView>
  </sheetViews>
  <sheetFormatPr baseColWidth="10" defaultColWidth="7.5" defaultRowHeight="15"/>
  <cols>
    <col min="1" max="4" width="12" style="1" customWidth="1"/>
    <col min="5" max="5" width="9.83203125" style="1" customWidth="1"/>
    <col min="6" max="6" width="31.1640625" style="1" customWidth="1"/>
    <col min="7" max="7" width="10.1640625" style="1" customWidth="1"/>
    <col min="8" max="16384" width="7.5" style="1"/>
  </cols>
  <sheetData>
    <row r="1" spans="1:8" ht="19" customHeight="1">
      <c r="A1" s="23"/>
    </row>
    <row r="2" spans="1:8" ht="27" customHeight="1">
      <c r="A2" s="499" t="s">
        <v>45</v>
      </c>
      <c r="B2" s="499"/>
      <c r="C2" s="499"/>
      <c r="D2" s="499"/>
      <c r="E2" s="499"/>
      <c r="F2" s="499"/>
    </row>
    <row r="3" spans="1:8" ht="23" customHeight="1">
      <c r="A3" s="18" t="s">
        <v>46</v>
      </c>
      <c r="B3" s="500" t="str">
        <f>IF(Start!$D$4="","Max Mustermann",Start!$D$4)</f>
        <v>Max Mustermann</v>
      </c>
      <c r="C3" s="500"/>
      <c r="D3" s="500"/>
      <c r="E3" s="26" t="s">
        <v>47</v>
      </c>
      <c r="F3" s="36" t="str">
        <f>IF(Start!$D$6="","",Start!$D$6)</f>
        <v/>
      </c>
    </row>
    <row r="4" spans="1:8" ht="23" customHeight="1">
      <c r="A4" s="18" t="s">
        <v>48</v>
      </c>
      <c r="B4" s="501" t="s">
        <v>62</v>
      </c>
      <c r="C4" s="501"/>
      <c r="D4" s="501"/>
      <c r="E4" s="501"/>
      <c r="F4" s="502"/>
    </row>
    <row r="5" spans="1:8" ht="15.75" customHeight="1">
      <c r="A5" s="18" t="s">
        <v>49</v>
      </c>
      <c r="B5" s="46" t="s">
        <v>89</v>
      </c>
      <c r="C5" s="27" t="s">
        <v>0</v>
      </c>
      <c r="D5" s="37">
        <f>IF(OR($B$5="Jänner.",$B$5="Februar.",$B$5="März."),Start!$D$2+1,Start!$D$2)</f>
        <v>2026</v>
      </c>
      <c r="E5" s="25"/>
      <c r="F5" s="28"/>
    </row>
    <row r="6" spans="1:8" ht="2" customHeight="1">
      <c r="A6" s="493"/>
      <c r="B6" s="494"/>
      <c r="C6" s="494"/>
      <c r="D6" s="494"/>
      <c r="E6" s="494"/>
      <c r="F6" s="2"/>
      <c r="G6" s="50"/>
    </row>
    <row r="7" spans="1:8" ht="15.75" customHeight="1">
      <c r="A7" s="3"/>
      <c r="B7" s="45"/>
      <c r="C7" s="497" t="s">
        <v>50</v>
      </c>
      <c r="D7" s="497"/>
      <c r="E7" s="497"/>
      <c r="F7" s="498"/>
      <c r="G7" s="49"/>
    </row>
    <row r="8" spans="1:8" ht="2" customHeight="1">
      <c r="A8" s="495"/>
      <c r="B8" s="496"/>
      <c r="C8" s="496"/>
      <c r="D8" s="496"/>
      <c r="E8" s="496"/>
      <c r="F8" s="29"/>
      <c r="G8" s="49"/>
    </row>
    <row r="9" spans="1:8" ht="2" customHeight="1">
      <c r="A9" s="4"/>
      <c r="B9" s="5"/>
      <c r="C9" s="5"/>
      <c r="D9" s="5"/>
      <c r="E9" s="5"/>
      <c r="F9" s="30"/>
      <c r="G9" s="49"/>
    </row>
    <row r="10" spans="1:8" ht="15.75" customHeight="1">
      <c r="A10" s="6"/>
      <c r="B10" s="45"/>
      <c r="C10" s="497" t="s">
        <v>57</v>
      </c>
      <c r="D10" s="497"/>
      <c r="E10" s="497"/>
      <c r="F10" s="498"/>
      <c r="G10" s="49"/>
      <c r="H10" s="24"/>
    </row>
    <row r="11" spans="1:8" ht="2" customHeight="1">
      <c r="A11" s="6"/>
      <c r="B11" s="7"/>
      <c r="C11" s="7"/>
      <c r="D11" s="7"/>
      <c r="E11" s="8"/>
      <c r="F11" s="9"/>
    </row>
    <row r="12" spans="1:8" ht="23" customHeight="1">
      <c r="A12" s="31"/>
      <c r="B12" s="505" t="s">
        <v>13</v>
      </c>
      <c r="C12" s="506"/>
      <c r="D12" s="10"/>
      <c r="E12" s="507" t="s">
        <v>51</v>
      </c>
      <c r="F12" s="508"/>
    </row>
    <row r="13" spans="1:8" ht="23" customHeight="1">
      <c r="A13" s="32" t="s">
        <v>52</v>
      </c>
      <c r="B13" s="21" t="s">
        <v>14</v>
      </c>
      <c r="C13" s="11" t="s">
        <v>53</v>
      </c>
      <c r="D13" s="11" t="s">
        <v>54</v>
      </c>
      <c r="E13" s="507"/>
      <c r="F13" s="508"/>
    </row>
    <row r="14" spans="1:8" ht="22.5" customHeight="1">
      <c r="A14" s="47" t="str">
        <f t="array" aca="1" ref="A14" ca="1">IF((ROW(A1)&lt;=(COUNTIF((INDIRECT($B$5&amp;"!F14:F44")),"&gt;0"))),SMALL(IF((INDIRECT($B$5&amp;"!F14:F44"))&gt;0,(INDIRECT($B$5&amp;"!C14:C44"))),ROW(A1)),"")</f>
        <v/>
      </c>
      <c r="B14" s="42" t="str">
        <f t="array" aca="1" ref="B14" ca="1">IF(A14="","",VLOOKUP(A14,(INDIRECT($B$5&amp;"!C14:F44")),4,FALSE))</f>
        <v/>
      </c>
      <c r="C14" s="43" t="str">
        <f ca="1">IF(A14="","",VLOOKUP(A14,(INDIRECT($B$5&amp;"!C14:G44")),5,FALSE))</f>
        <v/>
      </c>
      <c r="D14" s="44" t="str">
        <f ca="1">IF(A14="","",((C14-B14)*24))</f>
        <v/>
      </c>
      <c r="E14" s="503" t="str">
        <f ca="1">IF(A14="","",IF((VLOOKUP(A14,(INDIRECT($B$5&amp;"!C14:S44")),17,FALSE))="","Grund fehlt",VLOOKUP(A14,(INDIRECT($B$5&amp;"!C14:S44")),17,FALSE)))</f>
        <v/>
      </c>
      <c r="F14" s="504"/>
      <c r="G14" s="34"/>
    </row>
    <row r="15" spans="1:8" ht="22.5" customHeight="1">
      <c r="A15" s="47" t="str">
        <f t="array" aca="1" ref="A15" ca="1">IF((ROW(A2)&lt;=(COUNTIF((INDIRECT($B$5&amp;"!F14:F44")),"&gt;0"))),SMALL(IF((INDIRECT($B$5&amp;"!F14:F44"))&gt;0,(INDIRECT($B$5&amp;"!C14:C44"))),ROW(A2)),"")</f>
        <v/>
      </c>
      <c r="B15" s="42" t="str">
        <f t="array" aca="1" ref="B15" ca="1">IF(A15="","",VLOOKUP(A15,(INDIRECT($B$5&amp;"!C14:F44")),4,FALSE))</f>
        <v/>
      </c>
      <c r="C15" s="43" t="str">
        <f t="shared" ref="C15:C34" ca="1" si="0">IF(A15="","",VLOOKUP(A15,(INDIRECT($B$5&amp;"!C14:G44")),5,FALSE))</f>
        <v/>
      </c>
      <c r="D15" s="44" t="str">
        <f t="shared" ref="D15:D34" ca="1" si="1">IF(A15="","",((C15-B15)*24))</f>
        <v/>
      </c>
      <c r="E15" s="503" t="str">
        <f t="shared" ref="E15:E34" ca="1" si="2">IF(A15="","",IF((VLOOKUP(A15,(INDIRECT($B$5&amp;"!C14:S44")),17,FALSE))="","Grund fehlt",VLOOKUP(A15,(INDIRECT($B$5&amp;"!C14:S44")),17,FALSE)))</f>
        <v/>
      </c>
      <c r="F15" s="504"/>
    </row>
    <row r="16" spans="1:8" ht="22.5" customHeight="1">
      <c r="A16" s="47" t="str">
        <f t="array" aca="1" ref="A16" ca="1">IF((ROW(A3)&lt;=(COUNTIF((INDIRECT($B$5&amp;"!F14:F44")),"&gt;0"))),SMALL(IF((INDIRECT($B$5&amp;"!F14:F44"))&gt;0,(INDIRECT($B$5&amp;"!C14:C44"))),ROW(A3)),"")</f>
        <v/>
      </c>
      <c r="B16" s="42" t="str">
        <f t="array" aca="1" ref="B16" ca="1">IF(A16="","",VLOOKUP(A16,(INDIRECT($B$5&amp;"!C14:F44")),4,FALSE))</f>
        <v/>
      </c>
      <c r="C16" s="43" t="str">
        <f t="shared" ca="1" si="0"/>
        <v/>
      </c>
      <c r="D16" s="44" t="str">
        <f t="shared" ca="1" si="1"/>
        <v/>
      </c>
      <c r="E16" s="503" t="str">
        <f t="shared" ca="1" si="2"/>
        <v/>
      </c>
      <c r="F16" s="504"/>
    </row>
    <row r="17" spans="1:6" ht="22.5" customHeight="1">
      <c r="A17" s="47" t="str">
        <f t="array" aca="1" ref="A17" ca="1">IF((ROW(A4)&lt;=(COUNTIF((INDIRECT($B$5&amp;"!F14:F44")),"&gt;0"))),SMALL(IF((INDIRECT($B$5&amp;"!F14:F44"))&gt;0,(INDIRECT($B$5&amp;"!C14:C44"))),ROW(A4)),"")</f>
        <v/>
      </c>
      <c r="B17" s="42" t="str">
        <f t="array" aca="1" ref="B17" ca="1">IF(A17="","",VLOOKUP(A17,(INDIRECT($B$5&amp;"!C14:F44")),4,FALSE))</f>
        <v/>
      </c>
      <c r="C17" s="43" t="str">
        <f t="shared" ca="1" si="0"/>
        <v/>
      </c>
      <c r="D17" s="44" t="str">
        <f t="shared" ca="1" si="1"/>
        <v/>
      </c>
      <c r="E17" s="503" t="str">
        <f t="shared" ca="1" si="2"/>
        <v/>
      </c>
      <c r="F17" s="504"/>
    </row>
    <row r="18" spans="1:6" ht="22.5" customHeight="1">
      <c r="A18" s="47" t="str">
        <f t="array" aca="1" ref="A18" ca="1">IF((ROW(A5)&lt;=(COUNTIF((INDIRECT($B$5&amp;"!F14:F44")),"&gt;0"))),SMALL(IF((INDIRECT($B$5&amp;"!F14:F44"))&gt;0,(INDIRECT($B$5&amp;"!C14:C44"))),ROW(A5)),"")</f>
        <v/>
      </c>
      <c r="B18" s="42" t="str">
        <f t="array" aca="1" ref="B18" ca="1">IF(A18="","",VLOOKUP(A18,(INDIRECT($B$5&amp;"!C14:F44")),4,FALSE))</f>
        <v/>
      </c>
      <c r="C18" s="43" t="str">
        <f t="shared" ca="1" si="0"/>
        <v/>
      </c>
      <c r="D18" s="44" t="str">
        <f t="shared" ca="1" si="1"/>
        <v/>
      </c>
      <c r="E18" s="503" t="str">
        <f t="shared" ca="1" si="2"/>
        <v/>
      </c>
      <c r="F18" s="504"/>
    </row>
    <row r="19" spans="1:6" ht="22.5" customHeight="1">
      <c r="A19" s="47" t="str">
        <f t="array" aca="1" ref="A19" ca="1">IF((ROW(A6)&lt;=(COUNTIF((INDIRECT($B$5&amp;"!F14:F44")),"&gt;0"))),SMALL(IF((INDIRECT($B$5&amp;"!F14:F44"))&gt;0,(INDIRECT($B$5&amp;"!C14:C44"))),ROW(A6)),"")</f>
        <v/>
      </c>
      <c r="B19" s="42" t="str">
        <f t="array" aca="1" ref="B19" ca="1">IF(A19="","",VLOOKUP(A19,(INDIRECT($B$5&amp;"!C14:F44")),4,FALSE))</f>
        <v/>
      </c>
      <c r="C19" s="43" t="str">
        <f t="shared" ca="1" si="0"/>
        <v/>
      </c>
      <c r="D19" s="44" t="str">
        <f t="shared" ca="1" si="1"/>
        <v/>
      </c>
      <c r="E19" s="503" t="str">
        <f t="shared" ca="1" si="2"/>
        <v/>
      </c>
      <c r="F19" s="504"/>
    </row>
    <row r="20" spans="1:6" ht="22.5" customHeight="1">
      <c r="A20" s="47" t="str">
        <f t="array" aca="1" ref="A20" ca="1">IF((ROW(A7)&lt;=(COUNTIF((INDIRECT($B$5&amp;"!F14:F44")),"&gt;0"))),SMALL(IF((INDIRECT($B$5&amp;"!F14:F44"))&gt;0,(INDIRECT($B$5&amp;"!C14:C44"))),ROW(A7)),"")</f>
        <v/>
      </c>
      <c r="B20" s="42" t="str">
        <f t="array" aca="1" ref="B20" ca="1">IF(A20="","",VLOOKUP(A20,(INDIRECT($B$5&amp;"!C14:F44")),4,FALSE))</f>
        <v/>
      </c>
      <c r="C20" s="43" t="str">
        <f t="shared" ca="1" si="0"/>
        <v/>
      </c>
      <c r="D20" s="44" t="str">
        <f t="shared" ca="1" si="1"/>
        <v/>
      </c>
      <c r="E20" s="503" t="str">
        <f t="shared" ca="1" si="2"/>
        <v/>
      </c>
      <c r="F20" s="504"/>
    </row>
    <row r="21" spans="1:6" ht="22.5" customHeight="1">
      <c r="A21" s="47" t="str">
        <f t="array" aca="1" ref="A21" ca="1">IF((ROW(A8)&lt;=(COUNTIF((INDIRECT($B$5&amp;"!F14:F44")),"&gt;0"))),SMALL(IF((INDIRECT($B$5&amp;"!F14:F44"))&gt;0,(INDIRECT($B$5&amp;"!C14:C44"))),ROW(A8)),"")</f>
        <v/>
      </c>
      <c r="B21" s="42" t="str">
        <f t="array" aca="1" ref="B21" ca="1">IF(A21="","",VLOOKUP(A21,(INDIRECT($B$5&amp;"!C14:F44")),4,FALSE))</f>
        <v/>
      </c>
      <c r="C21" s="43" t="str">
        <f t="shared" ca="1" si="0"/>
        <v/>
      </c>
      <c r="D21" s="44" t="str">
        <f t="shared" ca="1" si="1"/>
        <v/>
      </c>
      <c r="E21" s="503" t="str">
        <f t="shared" ca="1" si="2"/>
        <v/>
      </c>
      <c r="F21" s="504"/>
    </row>
    <row r="22" spans="1:6" ht="22.5" customHeight="1">
      <c r="A22" s="47" t="str">
        <f t="array" aca="1" ref="A22" ca="1">IF((ROW(A9)&lt;=(COUNTIF((INDIRECT($B$5&amp;"!F14:F44")),"&gt;0"))),SMALL(IF((INDIRECT($B$5&amp;"!F14:F44"))&gt;0,(INDIRECT($B$5&amp;"!C14:C44"))),ROW(A9)),"")</f>
        <v/>
      </c>
      <c r="B22" s="42" t="str">
        <f t="array" aca="1" ref="B22" ca="1">IF(A22="","",VLOOKUP(A22,(INDIRECT($B$5&amp;"!C14:F44")),4,FALSE))</f>
        <v/>
      </c>
      <c r="C22" s="43" t="str">
        <f t="shared" ca="1" si="0"/>
        <v/>
      </c>
      <c r="D22" s="44" t="str">
        <f t="shared" ca="1" si="1"/>
        <v/>
      </c>
      <c r="E22" s="503" t="str">
        <f t="shared" ca="1" si="2"/>
        <v/>
      </c>
      <c r="F22" s="504"/>
    </row>
    <row r="23" spans="1:6" ht="22.5" customHeight="1">
      <c r="A23" s="47" t="str">
        <f t="array" aca="1" ref="A23" ca="1">IF((ROW(A10)&lt;=(COUNTIF((INDIRECT($B$5&amp;"!F14:F44")),"&gt;0"))),SMALL(IF((INDIRECT($B$5&amp;"!F14:F44"))&gt;0,(INDIRECT($B$5&amp;"!C14:C44"))),ROW(A10)),"")</f>
        <v/>
      </c>
      <c r="B23" s="42" t="str">
        <f t="array" aca="1" ref="B23" ca="1">IF(A23="","",VLOOKUP(A23,(INDIRECT($B$5&amp;"!C14:F44")),4,FALSE))</f>
        <v/>
      </c>
      <c r="C23" s="43" t="str">
        <f t="shared" ca="1" si="0"/>
        <v/>
      </c>
      <c r="D23" s="44" t="str">
        <f t="shared" ca="1" si="1"/>
        <v/>
      </c>
      <c r="E23" s="503" t="str">
        <f t="shared" ca="1" si="2"/>
        <v/>
      </c>
      <c r="F23" s="504"/>
    </row>
    <row r="24" spans="1:6" ht="22.5" customHeight="1">
      <c r="A24" s="47" t="str">
        <f t="array" aca="1" ref="A24" ca="1">IF((ROW(A11)&lt;=(COUNTIF((INDIRECT($B$5&amp;"!F14:F44")),"&gt;0"))),SMALL(IF((INDIRECT($B$5&amp;"!F14:F44"))&gt;0,(INDIRECT($B$5&amp;"!C14:C44"))),ROW(A11)),"")</f>
        <v/>
      </c>
      <c r="B24" s="42" t="str">
        <f t="array" aca="1" ref="B24" ca="1">IF(A24="","",VLOOKUP(A24,(INDIRECT($B$5&amp;"!C14:F44")),4,FALSE))</f>
        <v/>
      </c>
      <c r="C24" s="43" t="str">
        <f t="shared" ca="1" si="0"/>
        <v/>
      </c>
      <c r="D24" s="44" t="str">
        <f t="shared" ca="1" si="1"/>
        <v/>
      </c>
      <c r="E24" s="503" t="str">
        <f t="shared" ca="1" si="2"/>
        <v/>
      </c>
      <c r="F24" s="504"/>
    </row>
    <row r="25" spans="1:6" ht="22.5" customHeight="1">
      <c r="A25" s="47" t="str">
        <f t="array" aca="1" ref="A25" ca="1">IF((ROW(A12)&lt;=(COUNTIF((INDIRECT($B$5&amp;"!F14:F44")),"&gt;0"))),SMALL(IF((INDIRECT($B$5&amp;"!F14:F44"))&gt;0,(INDIRECT($B$5&amp;"!C14:C44"))),ROW(A12)),"")</f>
        <v/>
      </c>
      <c r="B25" s="42" t="str">
        <f t="array" aca="1" ref="B25" ca="1">IF(A25="","",VLOOKUP(A25,(INDIRECT($B$5&amp;"!C14:F44")),4,FALSE))</f>
        <v/>
      </c>
      <c r="C25" s="43" t="str">
        <f t="shared" ca="1" si="0"/>
        <v/>
      </c>
      <c r="D25" s="44" t="str">
        <f t="shared" ca="1" si="1"/>
        <v/>
      </c>
      <c r="E25" s="503" t="str">
        <f t="shared" ca="1" si="2"/>
        <v/>
      </c>
      <c r="F25" s="504"/>
    </row>
    <row r="26" spans="1:6" ht="22.5" customHeight="1">
      <c r="A26" s="47" t="str">
        <f t="array" aca="1" ref="A26" ca="1">IF((ROW(A13)&lt;=(COUNTIF((INDIRECT($B$5&amp;"!F14:F44")),"&gt;0"))),SMALL(IF((INDIRECT($B$5&amp;"!F14:F44"))&gt;0,(INDIRECT($B$5&amp;"!C14:C44"))),ROW(A13)),"")</f>
        <v/>
      </c>
      <c r="B26" s="42" t="str">
        <f t="array" aca="1" ref="B26" ca="1">IF(A26="","",VLOOKUP(A26,(INDIRECT($B$5&amp;"!C14:F44")),4,FALSE))</f>
        <v/>
      </c>
      <c r="C26" s="43" t="str">
        <f t="shared" ca="1" si="0"/>
        <v/>
      </c>
      <c r="D26" s="44" t="str">
        <f t="shared" ca="1" si="1"/>
        <v/>
      </c>
      <c r="E26" s="503" t="str">
        <f t="shared" ca="1" si="2"/>
        <v/>
      </c>
      <c r="F26" s="504"/>
    </row>
    <row r="27" spans="1:6" ht="22.5" customHeight="1">
      <c r="A27" s="47" t="str">
        <f t="array" aca="1" ref="A27" ca="1">IF((ROW(A14)&lt;=(COUNTIF((INDIRECT($B$5&amp;"!F14:F44")),"&gt;0"))),SMALL(IF((INDIRECT($B$5&amp;"!F14:F44"))&gt;0,(INDIRECT($B$5&amp;"!C14:C44"))),ROW(A14)),"")</f>
        <v/>
      </c>
      <c r="B27" s="42" t="str">
        <f t="array" aca="1" ref="B27" ca="1">IF(A27="","",VLOOKUP(A27,(INDIRECT($B$5&amp;"!C14:F44")),4,FALSE))</f>
        <v/>
      </c>
      <c r="C27" s="43" t="str">
        <f t="shared" ca="1" si="0"/>
        <v/>
      </c>
      <c r="D27" s="44" t="str">
        <f t="shared" ca="1" si="1"/>
        <v/>
      </c>
      <c r="E27" s="503" t="str">
        <f t="shared" ca="1" si="2"/>
        <v/>
      </c>
      <c r="F27" s="504"/>
    </row>
    <row r="28" spans="1:6" ht="22.5" customHeight="1">
      <c r="A28" s="47" t="str">
        <f t="array" aca="1" ref="A28" ca="1">IF((ROW(A15)&lt;=(COUNTIF((INDIRECT($B$5&amp;"!F14:F44")),"&gt;0"))),SMALL(IF((INDIRECT($B$5&amp;"!F14:F44"))&gt;0,(INDIRECT($B$5&amp;"!C14:C44"))),ROW(A15)),"")</f>
        <v/>
      </c>
      <c r="B28" s="42" t="str">
        <f t="array" aca="1" ref="B28" ca="1">IF(A28="","",VLOOKUP(A28,(INDIRECT($B$5&amp;"!C14:F44")),4,FALSE))</f>
        <v/>
      </c>
      <c r="C28" s="43" t="str">
        <f t="shared" ca="1" si="0"/>
        <v/>
      </c>
      <c r="D28" s="44" t="str">
        <f t="shared" ca="1" si="1"/>
        <v/>
      </c>
      <c r="E28" s="503" t="str">
        <f t="shared" ca="1" si="2"/>
        <v/>
      </c>
      <c r="F28" s="504"/>
    </row>
    <row r="29" spans="1:6" ht="22.5" customHeight="1">
      <c r="A29" s="47" t="str">
        <f t="array" aca="1" ref="A29" ca="1">IF((ROW(A16)&lt;=(COUNTIF((INDIRECT($B$5&amp;"!F14:F44")),"&gt;0"))),SMALL(IF((INDIRECT($B$5&amp;"!F14:F44"))&gt;0,(INDIRECT($B$5&amp;"!C14:C44"))),ROW(A16)),"")</f>
        <v/>
      </c>
      <c r="B29" s="42" t="str">
        <f t="array" aca="1" ref="B29" ca="1">IF(A29="","",VLOOKUP(A29,(INDIRECT($B$5&amp;"!C14:F44")),4,FALSE))</f>
        <v/>
      </c>
      <c r="C29" s="43" t="str">
        <f t="shared" ca="1" si="0"/>
        <v/>
      </c>
      <c r="D29" s="44" t="str">
        <f t="shared" ca="1" si="1"/>
        <v/>
      </c>
      <c r="E29" s="503" t="str">
        <f t="shared" ca="1" si="2"/>
        <v/>
      </c>
      <c r="F29" s="504"/>
    </row>
    <row r="30" spans="1:6" ht="22.5" customHeight="1">
      <c r="A30" s="47" t="str">
        <f t="array" aca="1" ref="A30" ca="1">IF((ROW(A17)&lt;=(COUNTIF((INDIRECT($B$5&amp;"!F14:F44")),"&gt;0"))),SMALL(IF((INDIRECT($B$5&amp;"!F14:F44"))&gt;0,(INDIRECT($B$5&amp;"!C14:C44"))),ROW(A17)),"")</f>
        <v/>
      </c>
      <c r="B30" s="42" t="str">
        <f t="array" aca="1" ref="B30" ca="1">IF(A30="","",VLOOKUP(A30,(INDIRECT($B$5&amp;"!C14:F44")),4,FALSE))</f>
        <v/>
      </c>
      <c r="C30" s="43" t="str">
        <f t="shared" ca="1" si="0"/>
        <v/>
      </c>
      <c r="D30" s="44" t="str">
        <f t="shared" ca="1" si="1"/>
        <v/>
      </c>
      <c r="E30" s="503" t="str">
        <f t="shared" ca="1" si="2"/>
        <v/>
      </c>
      <c r="F30" s="504"/>
    </row>
    <row r="31" spans="1:6" ht="22.5" customHeight="1">
      <c r="A31" s="47" t="str">
        <f t="array" aca="1" ref="A31" ca="1">IF((ROW(A18)&lt;=(COUNTIF((INDIRECT($B$5&amp;"!F14:F44")),"&gt;0"))),SMALL(IF((INDIRECT($B$5&amp;"!F14:F44"))&gt;0,(INDIRECT($B$5&amp;"!C14:C44"))),ROW(A18)),"")</f>
        <v/>
      </c>
      <c r="B31" s="42" t="str">
        <f t="array" aca="1" ref="B31" ca="1">IF(A31="","",VLOOKUP(A31,(INDIRECT($B$5&amp;"!C14:F44")),4,FALSE))</f>
        <v/>
      </c>
      <c r="C31" s="43" t="str">
        <f t="shared" ca="1" si="0"/>
        <v/>
      </c>
      <c r="D31" s="44" t="str">
        <f t="shared" ca="1" si="1"/>
        <v/>
      </c>
      <c r="E31" s="503" t="str">
        <f t="shared" ca="1" si="2"/>
        <v/>
      </c>
      <c r="F31" s="504"/>
    </row>
    <row r="32" spans="1:6" ht="22.5" customHeight="1">
      <c r="A32" s="47" t="str">
        <f t="array" aca="1" ref="A32" ca="1">IF((ROW(A19)&lt;=(COUNTIF((INDIRECT($B$5&amp;"!F14:F44")),"&gt;0"))),SMALL(IF((INDIRECT($B$5&amp;"!F14:F44"))&gt;0,(INDIRECT($B$5&amp;"!C14:C44"))),ROW(A19)),"")</f>
        <v/>
      </c>
      <c r="B32" s="42" t="str">
        <f t="array" aca="1" ref="B32" ca="1">IF(A32="","",VLOOKUP(A32,(INDIRECT($B$5&amp;"!C14:F44")),4,FALSE))</f>
        <v/>
      </c>
      <c r="C32" s="43" t="str">
        <f t="shared" ca="1" si="0"/>
        <v/>
      </c>
      <c r="D32" s="44" t="str">
        <f t="shared" ca="1" si="1"/>
        <v/>
      </c>
      <c r="E32" s="503" t="str">
        <f t="shared" ca="1" si="2"/>
        <v/>
      </c>
      <c r="F32" s="504"/>
    </row>
    <row r="33" spans="1:6" ht="22.5" customHeight="1">
      <c r="A33" s="47" t="str">
        <f t="array" aca="1" ref="A33" ca="1">IF((ROW(A20)&lt;=(COUNTIF((INDIRECT($B$5&amp;"!F14:F44")),"&gt;0"))),SMALL(IF((INDIRECT($B$5&amp;"!F14:F44"))&gt;0,(INDIRECT($B$5&amp;"!C14:C44"))),ROW(A20)),"")</f>
        <v/>
      </c>
      <c r="B33" s="42" t="str">
        <f t="array" aca="1" ref="B33" ca="1">IF(A33="","",VLOOKUP(A33,(INDIRECT($B$5&amp;"!C14:F44")),4,FALSE))</f>
        <v/>
      </c>
      <c r="C33" s="43" t="str">
        <f t="shared" ca="1" si="0"/>
        <v/>
      </c>
      <c r="D33" s="44" t="str">
        <f t="shared" ca="1" si="1"/>
        <v/>
      </c>
      <c r="E33" s="503" t="str">
        <f t="shared" ca="1" si="2"/>
        <v/>
      </c>
      <c r="F33" s="504"/>
    </row>
    <row r="34" spans="1:6" ht="22.5" customHeight="1">
      <c r="A34" s="47" t="str">
        <f t="array" aca="1" ref="A34" ca="1">IF((ROW(A21)&lt;=(COUNTIF((INDIRECT($B$5&amp;"!F14:F44")),"&gt;0"))),SMALL(IF((INDIRECT($B$5&amp;"!F14:F44"))&gt;0,(INDIRECT($B$5&amp;"!C14:C44"))),ROW(A21)),"")</f>
        <v/>
      </c>
      <c r="B34" s="42" t="str">
        <f t="array" aca="1" ref="B34" ca="1">IF(A34="","",VLOOKUP(A34,(INDIRECT($B$5&amp;"!C14:F44")),4,FALSE))</f>
        <v/>
      </c>
      <c r="C34" s="43" t="str">
        <f t="shared" ca="1" si="0"/>
        <v/>
      </c>
      <c r="D34" s="44" t="str">
        <f t="shared" ca="1" si="1"/>
        <v/>
      </c>
      <c r="E34" s="503" t="str">
        <f t="shared" ca="1" si="2"/>
        <v/>
      </c>
      <c r="F34" s="504"/>
    </row>
    <row r="35" spans="1:6" ht="16">
      <c r="A35" s="507" t="s">
        <v>55</v>
      </c>
      <c r="B35" s="505"/>
      <c r="C35" s="506"/>
      <c r="D35" s="38">
        <f ca="1">SUM($D$14:$D$34)</f>
        <v>0</v>
      </c>
      <c r="E35" s="6"/>
    </row>
    <row r="36" spans="1:6" ht="16">
      <c r="A36" s="40"/>
      <c r="B36" s="13"/>
      <c r="C36" s="13"/>
      <c r="D36" s="41"/>
      <c r="E36" s="7"/>
    </row>
    <row r="37" spans="1:6" ht="16">
      <c r="A37" s="13"/>
      <c r="B37" s="13"/>
      <c r="C37" s="13"/>
      <c r="D37" s="41"/>
      <c r="E37" s="7"/>
    </row>
    <row r="38" spans="1:6" ht="16">
      <c r="A38" s="13"/>
      <c r="B38" s="13"/>
      <c r="C38" s="13"/>
      <c r="D38" s="41"/>
      <c r="E38" s="7"/>
    </row>
    <row r="39" spans="1:6">
      <c r="A39" s="7"/>
    </row>
    <row r="40" spans="1:6" ht="16">
      <c r="A40" s="19"/>
      <c r="B40" s="505"/>
      <c r="C40" s="505"/>
      <c r="D40" s="12"/>
      <c r="E40" s="516" t="s">
        <v>51</v>
      </c>
      <c r="F40" s="517"/>
    </row>
    <row r="41" spans="1:6" ht="15.75" customHeight="1">
      <c r="A41" s="20" t="s">
        <v>52</v>
      </c>
      <c r="B41" s="33" t="s">
        <v>14</v>
      </c>
      <c r="C41" s="11" t="s">
        <v>53</v>
      </c>
      <c r="D41" s="11" t="s">
        <v>54</v>
      </c>
      <c r="E41" s="518"/>
      <c r="F41" s="519"/>
    </row>
    <row r="42" spans="1:6" ht="16">
      <c r="A42" s="509" t="s">
        <v>56</v>
      </c>
      <c r="B42" s="510"/>
      <c r="C42" s="511"/>
      <c r="D42" s="39">
        <f ca="1">$D$35</f>
        <v>0</v>
      </c>
      <c r="E42" s="512"/>
      <c r="F42" s="513"/>
    </row>
    <row r="43" spans="1:6" ht="22.5" customHeight="1">
      <c r="A43" s="47" t="str">
        <f t="array" aca="1" ref="A43" ca="1">IF((ROW(A1)&lt;=(COUNTIF((INDIRECT($B$5&amp;"!H14:H44")),"&gt;0"))),SMALL(IF((INDIRECT($B$5&amp;"!H14:H44"))&gt;0,(INDIRECT($B$5&amp;"!C14:C44"))),ROW(A1)),"")</f>
        <v/>
      </c>
      <c r="B43" s="42" t="str">
        <f ca="1">IF(A43="","",VLOOKUP(A43,(INDIRECT($B$5&amp;"!C14:H44")),6,FALSE))</f>
        <v/>
      </c>
      <c r="C43" s="43" t="str">
        <f ca="1">IF(A43="","",VLOOKUP(A43,(INDIRECT($B$5&amp;"!C14:I44")),7,FALSE))</f>
        <v/>
      </c>
      <c r="D43" s="44" t="str">
        <f ca="1">IF(A43="","",IF(C43&gt;B43,(C43-B43)*24,(1+C43-B43)*24))</f>
        <v/>
      </c>
      <c r="E43" s="514"/>
      <c r="F43" s="515"/>
    </row>
    <row r="44" spans="1:6" ht="22.5" customHeight="1">
      <c r="A44" s="47" t="str">
        <f t="array" aca="1" ref="A44" ca="1">IF((ROW(A2)&lt;=(COUNTIF((INDIRECT($B$5&amp;"!H14:H44")),"&gt;0"))),SMALL(IF((INDIRECT($B$5&amp;"!H14:H44"))&gt;0,(INDIRECT($B$5&amp;"!C14:C44"))),ROW(A2)),"")</f>
        <v/>
      </c>
      <c r="B44" s="42" t="str">
        <f t="shared" ref="B44:B65" ca="1" si="3">IF(A44="","",VLOOKUP(A44,(INDIRECT($B$5&amp;"!C14:H44")),6,FALSE))</f>
        <v/>
      </c>
      <c r="C44" s="43" t="str">
        <f t="shared" ref="C44:C65" ca="1" si="4">IF(A44="","",VLOOKUP(A44,(INDIRECT($B$5&amp;"!C14:I44")),7,FALSE))</f>
        <v/>
      </c>
      <c r="D44" s="44" t="str">
        <f t="shared" ref="D44:D65" ca="1" si="5">IF(A44="","",IF(C44&gt;B44,(C44-B44)*24,(1+C44-B44)*24))</f>
        <v/>
      </c>
      <c r="E44" s="514"/>
      <c r="F44" s="515"/>
    </row>
    <row r="45" spans="1:6" ht="22.5" customHeight="1">
      <c r="A45" s="47" t="str">
        <f t="array" aca="1" ref="A45" ca="1">IF((ROW(A3)&lt;=(COUNTIF((INDIRECT($B$5&amp;"!H14:H44")),"&gt;0"))),SMALL(IF((INDIRECT($B$5&amp;"!H14:H44"))&gt;0,(INDIRECT($B$5&amp;"!C14:C44"))),ROW(A3)),"")</f>
        <v/>
      </c>
      <c r="B45" s="42" t="str">
        <f t="shared" ca="1" si="3"/>
        <v/>
      </c>
      <c r="C45" s="43" t="str">
        <f t="shared" ca="1" si="4"/>
        <v/>
      </c>
      <c r="D45" s="44" t="str">
        <f t="shared" ca="1" si="5"/>
        <v/>
      </c>
      <c r="E45" s="514"/>
      <c r="F45" s="515"/>
    </row>
    <row r="46" spans="1:6" ht="22.5" customHeight="1">
      <c r="A46" s="47" t="str">
        <f t="array" aca="1" ref="A46" ca="1">IF((ROW(A4)&lt;=(COUNTIF((INDIRECT($B$5&amp;"!H14:H44")),"&gt;0"))),SMALL(IF((INDIRECT($B$5&amp;"!H14:H44"))&gt;0,(INDIRECT($B$5&amp;"!C14:C44"))),ROW(A4)),"")</f>
        <v/>
      </c>
      <c r="B46" s="42" t="str">
        <f t="shared" ca="1" si="3"/>
        <v/>
      </c>
      <c r="C46" s="43" t="str">
        <f t="shared" ca="1" si="4"/>
        <v/>
      </c>
      <c r="D46" s="44" t="str">
        <f t="shared" ca="1" si="5"/>
        <v/>
      </c>
      <c r="E46" s="514"/>
      <c r="F46" s="515"/>
    </row>
    <row r="47" spans="1:6" ht="22.5" customHeight="1">
      <c r="A47" s="47" t="str">
        <f t="array" aca="1" ref="A47" ca="1">IF((ROW(A5)&lt;=(COUNTIF((INDIRECT($B$5&amp;"!H14:H44")),"&gt;0"))),SMALL(IF((INDIRECT($B$5&amp;"!H14:H44"))&gt;0,(INDIRECT($B$5&amp;"!C14:C44"))),ROW(A5)),"")</f>
        <v/>
      </c>
      <c r="B47" s="42" t="str">
        <f t="shared" ca="1" si="3"/>
        <v/>
      </c>
      <c r="C47" s="43" t="str">
        <f t="shared" ca="1" si="4"/>
        <v/>
      </c>
      <c r="D47" s="44" t="str">
        <f t="shared" ca="1" si="5"/>
        <v/>
      </c>
      <c r="E47" s="514"/>
      <c r="F47" s="515"/>
    </row>
    <row r="48" spans="1:6" ht="22.5" customHeight="1">
      <c r="A48" s="47" t="str">
        <f t="array" aca="1" ref="A48" ca="1">IF((ROW(A6)&lt;=(COUNTIF((INDIRECT($B$5&amp;"!H14:H44")),"&gt;0"))),SMALL(IF((INDIRECT($B$5&amp;"!H14:H44"))&gt;0,(INDIRECT($B$5&amp;"!C14:C44"))),ROW(A6)),"")</f>
        <v/>
      </c>
      <c r="B48" s="42" t="str">
        <f t="shared" ca="1" si="3"/>
        <v/>
      </c>
      <c r="C48" s="43" t="str">
        <f t="shared" ca="1" si="4"/>
        <v/>
      </c>
      <c r="D48" s="44" t="str">
        <f t="shared" ca="1" si="5"/>
        <v/>
      </c>
      <c r="E48" s="514"/>
      <c r="F48" s="515"/>
    </row>
    <row r="49" spans="1:6" ht="22.5" customHeight="1">
      <c r="A49" s="47" t="str">
        <f t="array" aca="1" ref="A49" ca="1">IF((ROW(A7)&lt;=(COUNTIF((INDIRECT($B$5&amp;"!H14:H44")),"&gt;0"))),SMALL(IF((INDIRECT($B$5&amp;"!H14:H44"))&gt;0,(INDIRECT($B$5&amp;"!C14:C44"))),ROW(A7)),"")</f>
        <v/>
      </c>
      <c r="B49" s="42" t="str">
        <f t="shared" ca="1" si="3"/>
        <v/>
      </c>
      <c r="C49" s="43" t="str">
        <f t="shared" ca="1" si="4"/>
        <v/>
      </c>
      <c r="D49" s="44" t="str">
        <f t="shared" ca="1" si="5"/>
        <v/>
      </c>
      <c r="E49" s="514"/>
      <c r="F49" s="515"/>
    </row>
    <row r="50" spans="1:6" ht="22.5" customHeight="1">
      <c r="A50" s="47" t="str">
        <f t="array" aca="1" ref="A50" ca="1">IF((ROW(A8)&lt;=(COUNTIF((INDIRECT($B$5&amp;"!H14:H44")),"&gt;0"))),SMALL(IF((INDIRECT($B$5&amp;"!H14:H44"))&gt;0,(INDIRECT($B$5&amp;"!C14:C44"))),ROW(A8)),"")</f>
        <v/>
      </c>
      <c r="B50" s="42" t="str">
        <f t="shared" ca="1" si="3"/>
        <v/>
      </c>
      <c r="C50" s="43" t="str">
        <f t="shared" ca="1" si="4"/>
        <v/>
      </c>
      <c r="D50" s="44" t="str">
        <f t="shared" ca="1" si="5"/>
        <v/>
      </c>
      <c r="E50" s="514"/>
      <c r="F50" s="515"/>
    </row>
    <row r="51" spans="1:6" ht="22.5" customHeight="1">
      <c r="A51" s="47" t="str">
        <f t="array" aca="1" ref="A51" ca="1">IF((ROW(A9)&lt;=(COUNTIF((INDIRECT($B$5&amp;"!H14:H44")),"&gt;0"))),SMALL(IF((INDIRECT($B$5&amp;"!H14:H44"))&gt;0,(INDIRECT($B$5&amp;"!C14:C44"))),ROW(A9)),"")</f>
        <v/>
      </c>
      <c r="B51" s="42" t="str">
        <f t="shared" ca="1" si="3"/>
        <v/>
      </c>
      <c r="C51" s="43" t="str">
        <f t="shared" ca="1" si="4"/>
        <v/>
      </c>
      <c r="D51" s="44" t="str">
        <f t="shared" ca="1" si="5"/>
        <v/>
      </c>
      <c r="E51" s="514"/>
      <c r="F51" s="515"/>
    </row>
    <row r="52" spans="1:6" ht="22.5" customHeight="1">
      <c r="A52" s="47" t="str">
        <f t="array" aca="1" ref="A52" ca="1">IF((ROW(A10)&lt;=(COUNTIF((INDIRECT($B$5&amp;"!H14:H44")),"&gt;0"))),SMALL(IF((INDIRECT($B$5&amp;"!H14:H44"))&gt;0,(INDIRECT($B$5&amp;"!C14:C44"))),ROW(A10)),"")</f>
        <v/>
      </c>
      <c r="B52" s="42" t="str">
        <f t="shared" ca="1" si="3"/>
        <v/>
      </c>
      <c r="C52" s="43" t="str">
        <f t="shared" ca="1" si="4"/>
        <v/>
      </c>
      <c r="D52" s="44" t="str">
        <f t="shared" ca="1" si="5"/>
        <v/>
      </c>
      <c r="E52" s="514"/>
      <c r="F52" s="515"/>
    </row>
    <row r="53" spans="1:6" ht="22.5" customHeight="1">
      <c r="A53" s="47" t="str">
        <f t="array" aca="1" ref="A53" ca="1">IF((ROW(A11)&lt;=(COUNTIF((INDIRECT($B$5&amp;"!H14:H44")),"&gt;0"))),SMALL(IF((INDIRECT($B$5&amp;"!H14:H44"))&gt;0,(INDIRECT($B$5&amp;"!C14:C44"))),ROW(A11)),"")</f>
        <v/>
      </c>
      <c r="B53" s="42" t="str">
        <f t="shared" ca="1" si="3"/>
        <v/>
      </c>
      <c r="C53" s="43" t="str">
        <f t="shared" ca="1" si="4"/>
        <v/>
      </c>
      <c r="D53" s="44" t="str">
        <f t="shared" ca="1" si="5"/>
        <v/>
      </c>
      <c r="E53" s="514"/>
      <c r="F53" s="515"/>
    </row>
    <row r="54" spans="1:6" ht="22.5" customHeight="1">
      <c r="A54" s="47" t="str">
        <f t="array" aca="1" ref="A54" ca="1">IF((ROW(A12)&lt;=(COUNTIF((INDIRECT($B$5&amp;"!H14:H44")),"&gt;0"))),SMALL(IF((INDIRECT($B$5&amp;"!H14:H44"))&gt;0,(INDIRECT($B$5&amp;"!C14:C44"))),ROW(A12)),"")</f>
        <v/>
      </c>
      <c r="B54" s="42" t="str">
        <f t="shared" ca="1" si="3"/>
        <v/>
      </c>
      <c r="C54" s="43" t="str">
        <f t="shared" ca="1" si="4"/>
        <v/>
      </c>
      <c r="D54" s="44" t="str">
        <f t="shared" ca="1" si="5"/>
        <v/>
      </c>
      <c r="E54" s="514"/>
      <c r="F54" s="515"/>
    </row>
    <row r="55" spans="1:6" ht="22.5" customHeight="1">
      <c r="A55" s="47" t="str">
        <f t="array" aca="1" ref="A55" ca="1">IF((ROW(A13)&lt;=(COUNTIF((INDIRECT($B$5&amp;"!H14:H44")),"&gt;0"))),SMALL(IF((INDIRECT($B$5&amp;"!H14:H44"))&gt;0,(INDIRECT($B$5&amp;"!C14:C44"))),ROW(A13)),"")</f>
        <v/>
      </c>
      <c r="B55" s="42" t="str">
        <f t="shared" ca="1" si="3"/>
        <v/>
      </c>
      <c r="C55" s="43" t="str">
        <f t="shared" ca="1" si="4"/>
        <v/>
      </c>
      <c r="D55" s="44" t="str">
        <f t="shared" ca="1" si="5"/>
        <v/>
      </c>
      <c r="E55" s="514"/>
      <c r="F55" s="515"/>
    </row>
    <row r="56" spans="1:6" ht="22.5" customHeight="1">
      <c r="A56" s="47" t="str">
        <f t="array" aca="1" ref="A56" ca="1">IF((ROW(A14)&lt;=(COUNTIF((INDIRECT($B$5&amp;"!H14:H44")),"&gt;0"))),SMALL(IF((INDIRECT($B$5&amp;"!H14:H44"))&gt;0,(INDIRECT($B$5&amp;"!C14:C44"))),ROW(A14)),"")</f>
        <v/>
      </c>
      <c r="B56" s="42" t="str">
        <f t="shared" ca="1" si="3"/>
        <v/>
      </c>
      <c r="C56" s="43" t="str">
        <f t="shared" ca="1" si="4"/>
        <v/>
      </c>
      <c r="D56" s="44" t="str">
        <f t="shared" ca="1" si="5"/>
        <v/>
      </c>
      <c r="E56" s="514"/>
      <c r="F56" s="515"/>
    </row>
    <row r="57" spans="1:6" ht="22.5" customHeight="1">
      <c r="A57" s="47" t="str">
        <f t="array" aca="1" ref="A57" ca="1">IF((ROW(A15)&lt;=(COUNTIF((INDIRECT($B$5&amp;"!H14:H44")),"&gt;0"))),SMALL(IF((INDIRECT($B$5&amp;"!H14:H44"))&gt;0,(INDIRECT($B$5&amp;"!C14:C44"))),ROW(A15)),"")</f>
        <v/>
      </c>
      <c r="B57" s="42" t="str">
        <f t="shared" ca="1" si="3"/>
        <v/>
      </c>
      <c r="C57" s="43" t="str">
        <f t="shared" ca="1" si="4"/>
        <v/>
      </c>
      <c r="D57" s="44" t="str">
        <f t="shared" ca="1" si="5"/>
        <v/>
      </c>
      <c r="E57" s="514"/>
      <c r="F57" s="515"/>
    </row>
    <row r="58" spans="1:6" ht="22.5" customHeight="1">
      <c r="A58" s="47" t="str">
        <f t="array" aca="1" ref="A58" ca="1">IF((ROW(A16)&lt;=(COUNTIF((INDIRECT($B$5&amp;"!H14:H44")),"&gt;0"))),SMALL(IF((INDIRECT($B$5&amp;"!H14:H44"))&gt;0,(INDIRECT($B$5&amp;"!C14:C44"))),ROW(A16)),"")</f>
        <v/>
      </c>
      <c r="B58" s="42" t="str">
        <f t="shared" ca="1" si="3"/>
        <v/>
      </c>
      <c r="C58" s="43" t="str">
        <f t="shared" ca="1" si="4"/>
        <v/>
      </c>
      <c r="D58" s="44" t="str">
        <f t="shared" ca="1" si="5"/>
        <v/>
      </c>
      <c r="E58" s="514"/>
      <c r="F58" s="515"/>
    </row>
    <row r="59" spans="1:6" ht="22.5" customHeight="1">
      <c r="A59" s="47" t="str">
        <f t="array" aca="1" ref="A59" ca="1">IF((ROW(A17)&lt;=(COUNTIF((INDIRECT($B$5&amp;"!H14:H44")),"&gt;0"))),SMALL(IF((INDIRECT($B$5&amp;"!H14:H44"))&gt;0,(INDIRECT($B$5&amp;"!C14:C44"))),ROW(A17)),"")</f>
        <v/>
      </c>
      <c r="B59" s="42" t="str">
        <f t="shared" ca="1" si="3"/>
        <v/>
      </c>
      <c r="C59" s="43" t="str">
        <f t="shared" ca="1" si="4"/>
        <v/>
      </c>
      <c r="D59" s="44" t="str">
        <f t="shared" ca="1" si="5"/>
        <v/>
      </c>
      <c r="E59" s="514"/>
      <c r="F59" s="515"/>
    </row>
    <row r="60" spans="1:6" ht="22.5" customHeight="1">
      <c r="A60" s="47" t="str">
        <f t="array" aca="1" ref="A60" ca="1">IF((ROW(A18)&lt;=(COUNTIF((INDIRECT($B$5&amp;"!H14:H44")),"&gt;0"))),SMALL(IF((INDIRECT($B$5&amp;"!H14:H44"))&gt;0,(INDIRECT($B$5&amp;"!C14:C44"))),ROW(A18)),"")</f>
        <v/>
      </c>
      <c r="B60" s="42" t="str">
        <f t="shared" ca="1" si="3"/>
        <v/>
      </c>
      <c r="C60" s="43" t="str">
        <f t="shared" ca="1" si="4"/>
        <v/>
      </c>
      <c r="D60" s="44" t="str">
        <f t="shared" ca="1" si="5"/>
        <v/>
      </c>
      <c r="E60" s="514"/>
      <c r="F60" s="515"/>
    </row>
    <row r="61" spans="1:6" ht="22.5" customHeight="1">
      <c r="A61" s="47" t="str">
        <f t="array" aca="1" ref="A61" ca="1">IF((ROW(A19)&lt;=(COUNTIF((INDIRECT($B$5&amp;"!H14:H44")),"&gt;0"))),SMALL(IF((INDIRECT($B$5&amp;"!H14:H44"))&gt;0,(INDIRECT($B$5&amp;"!C14:C44"))),ROW(A19)),"")</f>
        <v/>
      </c>
      <c r="B61" s="42" t="str">
        <f t="shared" ca="1" si="3"/>
        <v/>
      </c>
      <c r="C61" s="43" t="str">
        <f t="shared" ca="1" si="4"/>
        <v/>
      </c>
      <c r="D61" s="44" t="str">
        <f t="shared" ca="1" si="5"/>
        <v/>
      </c>
      <c r="E61" s="514"/>
      <c r="F61" s="515"/>
    </row>
    <row r="62" spans="1:6" ht="22.5" customHeight="1">
      <c r="A62" s="47" t="str">
        <f t="array" aca="1" ref="A62" ca="1">IF((ROW(A20)&lt;=(COUNTIF((INDIRECT($B$5&amp;"!H14:H44")),"&gt;0"))),SMALL(IF((INDIRECT($B$5&amp;"!H14:H44"))&gt;0,(INDIRECT($B$5&amp;"!C14:C44"))),ROW(A20)),"")</f>
        <v/>
      </c>
      <c r="B62" s="42" t="str">
        <f t="shared" ca="1" si="3"/>
        <v/>
      </c>
      <c r="C62" s="43" t="str">
        <f t="shared" ca="1" si="4"/>
        <v/>
      </c>
      <c r="D62" s="44" t="str">
        <f t="shared" ca="1" si="5"/>
        <v/>
      </c>
      <c r="E62" s="514"/>
      <c r="F62" s="515"/>
    </row>
    <row r="63" spans="1:6" ht="22.5" customHeight="1">
      <c r="A63" s="47" t="str">
        <f t="array" aca="1" ref="A63" ca="1">IF((ROW(A21)&lt;=(COUNTIF((INDIRECT($B$5&amp;"!H14:H44")),"&gt;0"))),SMALL(IF((INDIRECT($B$5&amp;"!H14:H44"))&gt;0,(INDIRECT($B$5&amp;"!C14:C44"))),ROW(A21)),"")</f>
        <v/>
      </c>
      <c r="B63" s="42" t="str">
        <f t="shared" ca="1" si="3"/>
        <v/>
      </c>
      <c r="C63" s="43" t="str">
        <f t="shared" ca="1" si="4"/>
        <v/>
      </c>
      <c r="D63" s="44" t="str">
        <f t="shared" ca="1" si="5"/>
        <v/>
      </c>
      <c r="E63" s="514"/>
      <c r="F63" s="515"/>
    </row>
    <row r="64" spans="1:6" ht="22.5" customHeight="1">
      <c r="A64" s="47" t="str">
        <f t="array" aca="1" ref="A64" ca="1">IF((ROW(A22)&lt;=(COUNTIF((INDIRECT($B$5&amp;"!H14:H44")),"&gt;0"))),SMALL(IF((INDIRECT($B$5&amp;"!H14:H44"))&gt;0,(INDIRECT($B$5&amp;"!C14:C44"))),ROW(A22)),"")</f>
        <v/>
      </c>
      <c r="B64" s="42" t="str">
        <f t="shared" ca="1" si="3"/>
        <v/>
      </c>
      <c r="C64" s="43" t="str">
        <f t="shared" ca="1" si="4"/>
        <v/>
      </c>
      <c r="D64" s="44" t="str">
        <f t="shared" ca="1" si="5"/>
        <v/>
      </c>
      <c r="E64" s="514"/>
      <c r="F64" s="515"/>
    </row>
    <row r="65" spans="1:6" ht="22.5" customHeight="1">
      <c r="A65" s="47" t="str">
        <f t="array" aca="1" ref="A65" ca="1">IF((ROW(A23)&lt;=(COUNTIF((INDIRECT($B$5&amp;"!H14:H44")),"&gt;0"))),SMALL(IF((INDIRECT($B$5&amp;"!H14:H44"))&gt;0,(INDIRECT($B$5&amp;"!C14:C44"))),ROW(A23)),"")</f>
        <v/>
      </c>
      <c r="B65" s="42" t="str">
        <f t="shared" ca="1" si="3"/>
        <v/>
      </c>
      <c r="C65" s="43" t="str">
        <f t="shared" ca="1" si="4"/>
        <v/>
      </c>
      <c r="D65" s="44" t="str">
        <f t="shared" ca="1" si="5"/>
        <v/>
      </c>
      <c r="E65" s="514"/>
      <c r="F65" s="515"/>
    </row>
    <row r="66" spans="1:6" ht="16">
      <c r="A66" s="507" t="s">
        <v>55</v>
      </c>
      <c r="B66" s="505"/>
      <c r="C66" s="506"/>
      <c r="D66" s="38">
        <f ca="1">SUM($D$42:$D$65)</f>
        <v>0</v>
      </c>
      <c r="E66" s="6"/>
    </row>
    <row r="67" spans="1:6" ht="19">
      <c r="A67" s="13"/>
      <c r="B67" s="13"/>
      <c r="C67" s="13"/>
      <c r="D67" s="35"/>
      <c r="E67" s="7"/>
    </row>
    <row r="68" spans="1:6" ht="19">
      <c r="A68" s="13"/>
      <c r="B68" s="13"/>
      <c r="C68" s="13"/>
      <c r="D68" s="35"/>
      <c r="E68" s="7"/>
    </row>
    <row r="69" spans="1:6" ht="19">
      <c r="A69" s="13"/>
      <c r="B69" s="13"/>
      <c r="C69" s="13"/>
      <c r="D69" s="35"/>
      <c r="E69" s="7"/>
    </row>
    <row r="70" spans="1:6" ht="16">
      <c r="A70" s="13"/>
      <c r="B70" s="13"/>
      <c r="C70" s="13"/>
      <c r="D70" s="14"/>
      <c r="E70" s="7"/>
    </row>
    <row r="71" spans="1:6" ht="16">
      <c r="A71" s="15" t="s">
        <v>61</v>
      </c>
      <c r="B71" s="16"/>
      <c r="C71" s="16"/>
      <c r="D71" s="16"/>
      <c r="E71" s="15" t="s">
        <v>166</v>
      </c>
    </row>
    <row r="72" spans="1:6" ht="16">
      <c r="A72" s="15"/>
      <c r="B72" s="16"/>
      <c r="C72" s="16"/>
      <c r="D72" s="16"/>
      <c r="E72" s="15"/>
    </row>
    <row r="73" spans="1:6" ht="16">
      <c r="A73" s="22" t="s">
        <v>64</v>
      </c>
      <c r="B73" s="520"/>
      <c r="C73" s="520"/>
      <c r="D73" s="16"/>
      <c r="E73" s="17" t="s">
        <v>63</v>
      </c>
      <c r="F73" s="48"/>
    </row>
  </sheetData>
  <sheetProtection algorithmName="SHA-512" hashValue="IHRI4sb4UhZpAc/445YRhbbq92ue4vbYRnVaRbzVCKm9V9pkFb3P8ngZQDjyls9ubyHm9h7Ku1+rJTi6ZV3WRg==" saltValue="s+MYrsvtk14MgGF3C+vtlg==" spinCount="100000" sheet="1" selectLockedCells="1"/>
  <mergeCells count="60">
    <mergeCell ref="E65:F65"/>
    <mergeCell ref="A66:C66"/>
    <mergeCell ref="B73:C73"/>
    <mergeCell ref="E63:F63"/>
    <mergeCell ref="E64:F64"/>
    <mergeCell ref="E61:F61"/>
    <mergeCell ref="E62:F62"/>
    <mergeCell ref="E59:F59"/>
    <mergeCell ref="E60:F60"/>
    <mergeCell ref="E57:F57"/>
    <mergeCell ref="E58:F58"/>
    <mergeCell ref="E55:F55"/>
    <mergeCell ref="E56:F56"/>
    <mergeCell ref="E53:F53"/>
    <mergeCell ref="E54:F54"/>
    <mergeCell ref="E51:F51"/>
    <mergeCell ref="E52:F52"/>
    <mergeCell ref="E49:F49"/>
    <mergeCell ref="E50:F50"/>
    <mergeCell ref="E47:F47"/>
    <mergeCell ref="E48:F48"/>
    <mergeCell ref="E45:F45"/>
    <mergeCell ref="E46:F46"/>
    <mergeCell ref="A42:C42"/>
    <mergeCell ref="E42:F42"/>
    <mergeCell ref="E43:F43"/>
    <mergeCell ref="E44:F44"/>
    <mergeCell ref="A35:C35"/>
    <mergeCell ref="B40:C40"/>
    <mergeCell ref="E40:F41"/>
    <mergeCell ref="E33:F33"/>
    <mergeCell ref="E34:F34"/>
    <mergeCell ref="E31:F31"/>
    <mergeCell ref="E32:F32"/>
    <mergeCell ref="E29:F29"/>
    <mergeCell ref="E30:F30"/>
    <mergeCell ref="E27:F27"/>
    <mergeCell ref="E28:F28"/>
    <mergeCell ref="E25:F25"/>
    <mergeCell ref="E26:F26"/>
    <mergeCell ref="E23:F23"/>
    <mergeCell ref="E24:F24"/>
    <mergeCell ref="E21:F21"/>
    <mergeCell ref="E22:F22"/>
    <mergeCell ref="E19:F19"/>
    <mergeCell ref="E20:F20"/>
    <mergeCell ref="E17:F17"/>
    <mergeCell ref="E18:F18"/>
    <mergeCell ref="E15:F15"/>
    <mergeCell ref="E16:F16"/>
    <mergeCell ref="B12:C12"/>
    <mergeCell ref="E12:F13"/>
    <mergeCell ref="E14:F14"/>
    <mergeCell ref="A6:E6"/>
    <mergeCell ref="A8:E8"/>
    <mergeCell ref="C7:F7"/>
    <mergeCell ref="C10:F10"/>
    <mergeCell ref="A2:F2"/>
    <mergeCell ref="B3:D3"/>
    <mergeCell ref="B4:F4"/>
  </mergeCells>
  <conditionalFormatting sqref="E14:F34">
    <cfRule type="containsText" dxfId="549" priority="2" operator="containsText" text="Grund fehlt">
      <formula>NOT(ISERROR(SEARCH("Grund fehlt",E14)))</formula>
    </cfRule>
  </conditionalFormatting>
  <conditionalFormatting sqref="E43:F65">
    <cfRule type="containsText" dxfId="548" priority="1" operator="containsText" text="Grund fehlt">
      <formula>NOT(ISERROR(SEARCH("Grund fehlt",E43)))</formula>
    </cfRule>
  </conditionalFormatting>
  <pageMargins left="0.62992125984251968" right="0.23622047244094491" top="0.74803149606299213" bottom="0.74803149606299213" header="0.31496062992125984" footer="0.31496062992125984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279400</xdr:colOff>
                    <xdr:row>5</xdr:row>
                    <xdr:rowOff>12700</xdr:rowOff>
                  </from>
                  <to>
                    <xdr:col>1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1</xdr:col>
                    <xdr:colOff>279400</xdr:colOff>
                    <xdr:row>9</xdr:row>
                    <xdr:rowOff>12700</xdr:rowOff>
                  </from>
                  <to>
                    <xdr:col>1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Datenblatt!$H$100:$H$114</xm:f>
          </x14:formula1>
          <xm:sqref>B5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Q201"/>
  <sheetViews>
    <sheetView topLeftCell="A37" workbookViewId="0">
      <selection activeCell="S7" sqref="S7"/>
    </sheetView>
  </sheetViews>
  <sheetFormatPr baseColWidth="10" defaultRowHeight="15"/>
  <cols>
    <col min="1" max="1" width="11.33203125" style="51" customWidth="1"/>
    <col min="2" max="2" width="16.33203125" style="51" customWidth="1"/>
    <col min="3" max="3" width="15.83203125" style="51" customWidth="1"/>
    <col min="4" max="4" width="22.5" style="51" customWidth="1"/>
    <col min="5" max="5" width="8.33203125" style="51" customWidth="1"/>
    <col min="6" max="6" width="19.33203125" style="51" customWidth="1"/>
    <col min="7" max="7" width="11.5" style="51" customWidth="1"/>
    <col min="8" max="8" width="12.5" style="51" customWidth="1"/>
    <col min="9" max="9" width="8.83203125" style="51" customWidth="1"/>
    <col min="10" max="10" width="12.83203125" style="51" customWidth="1"/>
    <col min="11" max="11" width="17.83203125" style="52" customWidth="1"/>
    <col min="12" max="12" width="12.5" style="51" customWidth="1"/>
    <col min="13" max="13" width="13.1640625" style="51" customWidth="1"/>
    <col min="14" max="14" width="7.1640625" style="52" customWidth="1"/>
    <col min="15" max="15" width="9.5" style="53" customWidth="1"/>
    <col min="16" max="16" width="16.5" style="51" customWidth="1"/>
    <col min="18" max="18" width="10.83203125" style="51"/>
    <col min="19" max="19" width="16.83203125" style="51" customWidth="1"/>
    <col min="20" max="256" width="10.83203125" style="51"/>
    <col min="257" max="257" width="31.5" style="51" customWidth="1"/>
    <col min="258" max="259" width="15.83203125" style="51" customWidth="1"/>
    <col min="260" max="260" width="13.5" style="51" customWidth="1"/>
    <col min="261" max="512" width="10.83203125" style="51"/>
    <col min="513" max="513" width="31.5" style="51" customWidth="1"/>
    <col min="514" max="515" width="15.83203125" style="51" customWidth="1"/>
    <col min="516" max="516" width="13.5" style="51" customWidth="1"/>
    <col min="517" max="768" width="10.83203125" style="51"/>
    <col min="769" max="769" width="31.5" style="51" customWidth="1"/>
    <col min="770" max="771" width="15.83203125" style="51" customWidth="1"/>
    <col min="772" max="772" width="13.5" style="51" customWidth="1"/>
    <col min="773" max="1024" width="10.83203125" style="51"/>
    <col min="1025" max="1025" width="31.5" style="51" customWidth="1"/>
    <col min="1026" max="1027" width="15.83203125" style="51" customWidth="1"/>
    <col min="1028" max="1028" width="13.5" style="51" customWidth="1"/>
    <col min="1029" max="1280" width="10.83203125" style="51"/>
    <col min="1281" max="1281" width="31.5" style="51" customWidth="1"/>
    <col min="1282" max="1283" width="15.83203125" style="51" customWidth="1"/>
    <col min="1284" max="1284" width="13.5" style="51" customWidth="1"/>
    <col min="1285" max="1536" width="10.83203125" style="51"/>
    <col min="1537" max="1537" width="31.5" style="51" customWidth="1"/>
    <col min="1538" max="1539" width="15.83203125" style="51" customWidth="1"/>
    <col min="1540" max="1540" width="13.5" style="51" customWidth="1"/>
    <col min="1541" max="1792" width="10.83203125" style="51"/>
    <col min="1793" max="1793" width="31.5" style="51" customWidth="1"/>
    <col min="1794" max="1795" width="15.83203125" style="51" customWidth="1"/>
    <col min="1796" max="1796" width="13.5" style="51" customWidth="1"/>
    <col min="1797" max="2048" width="10.83203125" style="51"/>
    <col min="2049" max="2049" width="31.5" style="51" customWidth="1"/>
    <col min="2050" max="2051" width="15.83203125" style="51" customWidth="1"/>
    <col min="2052" max="2052" width="13.5" style="51" customWidth="1"/>
    <col min="2053" max="2304" width="10.83203125" style="51"/>
    <col min="2305" max="2305" width="31.5" style="51" customWidth="1"/>
    <col min="2306" max="2307" width="15.83203125" style="51" customWidth="1"/>
    <col min="2308" max="2308" width="13.5" style="51" customWidth="1"/>
    <col min="2309" max="2560" width="10.83203125" style="51"/>
    <col min="2561" max="2561" width="31.5" style="51" customWidth="1"/>
    <col min="2562" max="2563" width="15.83203125" style="51" customWidth="1"/>
    <col min="2564" max="2564" width="13.5" style="51" customWidth="1"/>
    <col min="2565" max="2816" width="10.83203125" style="51"/>
    <col min="2817" max="2817" width="31.5" style="51" customWidth="1"/>
    <col min="2818" max="2819" width="15.83203125" style="51" customWidth="1"/>
    <col min="2820" max="2820" width="13.5" style="51" customWidth="1"/>
    <col min="2821" max="3072" width="10.83203125" style="51"/>
    <col min="3073" max="3073" width="31.5" style="51" customWidth="1"/>
    <col min="3074" max="3075" width="15.83203125" style="51" customWidth="1"/>
    <col min="3076" max="3076" width="13.5" style="51" customWidth="1"/>
    <col min="3077" max="3328" width="10.83203125" style="51"/>
    <col min="3329" max="3329" width="31.5" style="51" customWidth="1"/>
    <col min="3330" max="3331" width="15.83203125" style="51" customWidth="1"/>
    <col min="3332" max="3332" width="13.5" style="51" customWidth="1"/>
    <col min="3333" max="3584" width="10.83203125" style="51"/>
    <col min="3585" max="3585" width="31.5" style="51" customWidth="1"/>
    <col min="3586" max="3587" width="15.83203125" style="51" customWidth="1"/>
    <col min="3588" max="3588" width="13.5" style="51" customWidth="1"/>
    <col min="3589" max="3840" width="10.83203125" style="51"/>
    <col min="3841" max="3841" width="31.5" style="51" customWidth="1"/>
    <col min="3842" max="3843" width="15.83203125" style="51" customWidth="1"/>
    <col min="3844" max="3844" width="13.5" style="51" customWidth="1"/>
    <col min="3845" max="4096" width="10.83203125" style="51"/>
    <col min="4097" max="4097" width="31.5" style="51" customWidth="1"/>
    <col min="4098" max="4099" width="15.83203125" style="51" customWidth="1"/>
    <col min="4100" max="4100" width="13.5" style="51" customWidth="1"/>
    <col min="4101" max="4352" width="10.83203125" style="51"/>
    <col min="4353" max="4353" width="31.5" style="51" customWidth="1"/>
    <col min="4354" max="4355" width="15.83203125" style="51" customWidth="1"/>
    <col min="4356" max="4356" width="13.5" style="51" customWidth="1"/>
    <col min="4357" max="4608" width="10.83203125" style="51"/>
    <col min="4609" max="4609" width="31.5" style="51" customWidth="1"/>
    <col min="4610" max="4611" width="15.83203125" style="51" customWidth="1"/>
    <col min="4612" max="4612" width="13.5" style="51" customWidth="1"/>
    <col min="4613" max="4864" width="10.83203125" style="51"/>
    <col min="4865" max="4865" width="31.5" style="51" customWidth="1"/>
    <col min="4866" max="4867" width="15.83203125" style="51" customWidth="1"/>
    <col min="4868" max="4868" width="13.5" style="51" customWidth="1"/>
    <col min="4869" max="5120" width="10.83203125" style="51"/>
    <col min="5121" max="5121" width="31.5" style="51" customWidth="1"/>
    <col min="5122" max="5123" width="15.83203125" style="51" customWidth="1"/>
    <col min="5124" max="5124" width="13.5" style="51" customWidth="1"/>
    <col min="5125" max="5376" width="10.83203125" style="51"/>
    <col min="5377" max="5377" width="31.5" style="51" customWidth="1"/>
    <col min="5378" max="5379" width="15.83203125" style="51" customWidth="1"/>
    <col min="5380" max="5380" width="13.5" style="51" customWidth="1"/>
    <col min="5381" max="5632" width="10.83203125" style="51"/>
    <col min="5633" max="5633" width="31.5" style="51" customWidth="1"/>
    <col min="5634" max="5635" width="15.83203125" style="51" customWidth="1"/>
    <col min="5636" max="5636" width="13.5" style="51" customWidth="1"/>
    <col min="5637" max="5888" width="10.83203125" style="51"/>
    <col min="5889" max="5889" width="31.5" style="51" customWidth="1"/>
    <col min="5890" max="5891" width="15.83203125" style="51" customWidth="1"/>
    <col min="5892" max="5892" width="13.5" style="51" customWidth="1"/>
    <col min="5893" max="6144" width="10.83203125" style="51"/>
    <col min="6145" max="6145" width="31.5" style="51" customWidth="1"/>
    <col min="6146" max="6147" width="15.83203125" style="51" customWidth="1"/>
    <col min="6148" max="6148" width="13.5" style="51" customWidth="1"/>
    <col min="6149" max="6400" width="10.83203125" style="51"/>
    <col min="6401" max="6401" width="31.5" style="51" customWidth="1"/>
    <col min="6402" max="6403" width="15.83203125" style="51" customWidth="1"/>
    <col min="6404" max="6404" width="13.5" style="51" customWidth="1"/>
    <col min="6405" max="6656" width="10.83203125" style="51"/>
    <col min="6657" max="6657" width="31.5" style="51" customWidth="1"/>
    <col min="6658" max="6659" width="15.83203125" style="51" customWidth="1"/>
    <col min="6660" max="6660" width="13.5" style="51" customWidth="1"/>
    <col min="6661" max="6912" width="10.83203125" style="51"/>
    <col min="6913" max="6913" width="31.5" style="51" customWidth="1"/>
    <col min="6914" max="6915" width="15.83203125" style="51" customWidth="1"/>
    <col min="6916" max="6916" width="13.5" style="51" customWidth="1"/>
    <col min="6917" max="7168" width="10.83203125" style="51"/>
    <col min="7169" max="7169" width="31.5" style="51" customWidth="1"/>
    <col min="7170" max="7171" width="15.83203125" style="51" customWidth="1"/>
    <col min="7172" max="7172" width="13.5" style="51" customWidth="1"/>
    <col min="7173" max="7424" width="10.83203125" style="51"/>
    <col min="7425" max="7425" width="31.5" style="51" customWidth="1"/>
    <col min="7426" max="7427" width="15.83203125" style="51" customWidth="1"/>
    <col min="7428" max="7428" width="13.5" style="51" customWidth="1"/>
    <col min="7429" max="7680" width="10.83203125" style="51"/>
    <col min="7681" max="7681" width="31.5" style="51" customWidth="1"/>
    <col min="7682" max="7683" width="15.83203125" style="51" customWidth="1"/>
    <col min="7684" max="7684" width="13.5" style="51" customWidth="1"/>
    <col min="7685" max="7936" width="10.83203125" style="51"/>
    <col min="7937" max="7937" width="31.5" style="51" customWidth="1"/>
    <col min="7938" max="7939" width="15.83203125" style="51" customWidth="1"/>
    <col min="7940" max="7940" width="13.5" style="51" customWidth="1"/>
    <col min="7941" max="8192" width="10.83203125" style="51"/>
    <col min="8193" max="8193" width="31.5" style="51" customWidth="1"/>
    <col min="8194" max="8195" width="15.83203125" style="51" customWidth="1"/>
    <col min="8196" max="8196" width="13.5" style="51" customWidth="1"/>
    <col min="8197" max="8448" width="10.83203125" style="51"/>
    <col min="8449" max="8449" width="31.5" style="51" customWidth="1"/>
    <col min="8450" max="8451" width="15.83203125" style="51" customWidth="1"/>
    <col min="8452" max="8452" width="13.5" style="51" customWidth="1"/>
    <col min="8453" max="8704" width="10.83203125" style="51"/>
    <col min="8705" max="8705" width="31.5" style="51" customWidth="1"/>
    <col min="8706" max="8707" width="15.83203125" style="51" customWidth="1"/>
    <col min="8708" max="8708" width="13.5" style="51" customWidth="1"/>
    <col min="8709" max="8960" width="10.83203125" style="51"/>
    <col min="8961" max="8961" width="31.5" style="51" customWidth="1"/>
    <col min="8962" max="8963" width="15.83203125" style="51" customWidth="1"/>
    <col min="8964" max="8964" width="13.5" style="51" customWidth="1"/>
    <col min="8965" max="9216" width="10.83203125" style="51"/>
    <col min="9217" max="9217" width="31.5" style="51" customWidth="1"/>
    <col min="9218" max="9219" width="15.83203125" style="51" customWidth="1"/>
    <col min="9220" max="9220" width="13.5" style="51" customWidth="1"/>
    <col min="9221" max="9472" width="10.83203125" style="51"/>
    <col min="9473" max="9473" width="31.5" style="51" customWidth="1"/>
    <col min="9474" max="9475" width="15.83203125" style="51" customWidth="1"/>
    <col min="9476" max="9476" width="13.5" style="51" customWidth="1"/>
    <col min="9477" max="9728" width="10.83203125" style="51"/>
    <col min="9729" max="9729" width="31.5" style="51" customWidth="1"/>
    <col min="9730" max="9731" width="15.83203125" style="51" customWidth="1"/>
    <col min="9732" max="9732" width="13.5" style="51" customWidth="1"/>
    <col min="9733" max="9984" width="10.83203125" style="51"/>
    <col min="9985" max="9985" width="31.5" style="51" customWidth="1"/>
    <col min="9986" max="9987" width="15.83203125" style="51" customWidth="1"/>
    <col min="9988" max="9988" width="13.5" style="51" customWidth="1"/>
    <col min="9989" max="10240" width="10.83203125" style="51"/>
    <col min="10241" max="10241" width="31.5" style="51" customWidth="1"/>
    <col min="10242" max="10243" width="15.83203125" style="51" customWidth="1"/>
    <col min="10244" max="10244" width="13.5" style="51" customWidth="1"/>
    <col min="10245" max="10496" width="10.83203125" style="51"/>
    <col min="10497" max="10497" width="31.5" style="51" customWidth="1"/>
    <col min="10498" max="10499" width="15.83203125" style="51" customWidth="1"/>
    <col min="10500" max="10500" width="13.5" style="51" customWidth="1"/>
    <col min="10501" max="10752" width="10.83203125" style="51"/>
    <col min="10753" max="10753" width="31.5" style="51" customWidth="1"/>
    <col min="10754" max="10755" width="15.83203125" style="51" customWidth="1"/>
    <col min="10756" max="10756" width="13.5" style="51" customWidth="1"/>
    <col min="10757" max="11008" width="10.83203125" style="51"/>
    <col min="11009" max="11009" width="31.5" style="51" customWidth="1"/>
    <col min="11010" max="11011" width="15.83203125" style="51" customWidth="1"/>
    <col min="11012" max="11012" width="13.5" style="51" customWidth="1"/>
    <col min="11013" max="11264" width="10.83203125" style="51"/>
    <col min="11265" max="11265" width="31.5" style="51" customWidth="1"/>
    <col min="11266" max="11267" width="15.83203125" style="51" customWidth="1"/>
    <col min="11268" max="11268" width="13.5" style="51" customWidth="1"/>
    <col min="11269" max="11520" width="10.83203125" style="51"/>
    <col min="11521" max="11521" width="31.5" style="51" customWidth="1"/>
    <col min="11522" max="11523" width="15.83203125" style="51" customWidth="1"/>
    <col min="11524" max="11524" width="13.5" style="51" customWidth="1"/>
    <col min="11525" max="11776" width="10.83203125" style="51"/>
    <col min="11777" max="11777" width="31.5" style="51" customWidth="1"/>
    <col min="11778" max="11779" width="15.83203125" style="51" customWidth="1"/>
    <col min="11780" max="11780" width="13.5" style="51" customWidth="1"/>
    <col min="11781" max="12032" width="10.83203125" style="51"/>
    <col min="12033" max="12033" width="31.5" style="51" customWidth="1"/>
    <col min="12034" max="12035" width="15.83203125" style="51" customWidth="1"/>
    <col min="12036" max="12036" width="13.5" style="51" customWidth="1"/>
    <col min="12037" max="12288" width="10.83203125" style="51"/>
    <col min="12289" max="12289" width="31.5" style="51" customWidth="1"/>
    <col min="12290" max="12291" width="15.83203125" style="51" customWidth="1"/>
    <col min="12292" max="12292" width="13.5" style="51" customWidth="1"/>
    <col min="12293" max="12544" width="10.83203125" style="51"/>
    <col min="12545" max="12545" width="31.5" style="51" customWidth="1"/>
    <col min="12546" max="12547" width="15.83203125" style="51" customWidth="1"/>
    <col min="12548" max="12548" width="13.5" style="51" customWidth="1"/>
    <col min="12549" max="12800" width="10.83203125" style="51"/>
    <col min="12801" max="12801" width="31.5" style="51" customWidth="1"/>
    <col min="12802" max="12803" width="15.83203125" style="51" customWidth="1"/>
    <col min="12804" max="12804" width="13.5" style="51" customWidth="1"/>
    <col min="12805" max="13056" width="10.83203125" style="51"/>
    <col min="13057" max="13057" width="31.5" style="51" customWidth="1"/>
    <col min="13058" max="13059" width="15.83203125" style="51" customWidth="1"/>
    <col min="13060" max="13060" width="13.5" style="51" customWidth="1"/>
    <col min="13061" max="13312" width="10.83203125" style="51"/>
    <col min="13313" max="13313" width="31.5" style="51" customWidth="1"/>
    <col min="13314" max="13315" width="15.83203125" style="51" customWidth="1"/>
    <col min="13316" max="13316" width="13.5" style="51" customWidth="1"/>
    <col min="13317" max="13568" width="10.83203125" style="51"/>
    <col min="13569" max="13569" width="31.5" style="51" customWidth="1"/>
    <col min="13570" max="13571" width="15.83203125" style="51" customWidth="1"/>
    <col min="13572" max="13572" width="13.5" style="51" customWidth="1"/>
    <col min="13573" max="13824" width="10.83203125" style="51"/>
    <col min="13825" max="13825" width="31.5" style="51" customWidth="1"/>
    <col min="13826" max="13827" width="15.83203125" style="51" customWidth="1"/>
    <col min="13828" max="13828" width="13.5" style="51" customWidth="1"/>
    <col min="13829" max="14080" width="10.83203125" style="51"/>
    <col min="14081" max="14081" width="31.5" style="51" customWidth="1"/>
    <col min="14082" max="14083" width="15.83203125" style="51" customWidth="1"/>
    <col min="14084" max="14084" width="13.5" style="51" customWidth="1"/>
    <col min="14085" max="14336" width="10.83203125" style="51"/>
    <col min="14337" max="14337" width="31.5" style="51" customWidth="1"/>
    <col min="14338" max="14339" width="15.83203125" style="51" customWidth="1"/>
    <col min="14340" max="14340" width="13.5" style="51" customWidth="1"/>
    <col min="14341" max="14592" width="10.83203125" style="51"/>
    <col min="14593" max="14593" width="31.5" style="51" customWidth="1"/>
    <col min="14594" max="14595" width="15.83203125" style="51" customWidth="1"/>
    <col min="14596" max="14596" width="13.5" style="51" customWidth="1"/>
    <col min="14597" max="14848" width="10.83203125" style="51"/>
    <col min="14849" max="14849" width="31.5" style="51" customWidth="1"/>
    <col min="14850" max="14851" width="15.83203125" style="51" customWidth="1"/>
    <col min="14852" max="14852" width="13.5" style="51" customWidth="1"/>
    <col min="14853" max="15104" width="10.83203125" style="51"/>
    <col min="15105" max="15105" width="31.5" style="51" customWidth="1"/>
    <col min="15106" max="15107" width="15.83203125" style="51" customWidth="1"/>
    <col min="15108" max="15108" width="13.5" style="51" customWidth="1"/>
    <col min="15109" max="15360" width="10.83203125" style="51"/>
    <col min="15361" max="15361" width="31.5" style="51" customWidth="1"/>
    <col min="15362" max="15363" width="15.83203125" style="51" customWidth="1"/>
    <col min="15364" max="15364" width="13.5" style="51" customWidth="1"/>
    <col min="15365" max="15616" width="10.83203125" style="51"/>
    <col min="15617" max="15617" width="31.5" style="51" customWidth="1"/>
    <col min="15618" max="15619" width="15.83203125" style="51" customWidth="1"/>
    <col min="15620" max="15620" width="13.5" style="51" customWidth="1"/>
    <col min="15621" max="15872" width="10.83203125" style="51"/>
    <col min="15873" max="15873" width="31.5" style="51" customWidth="1"/>
    <col min="15874" max="15875" width="15.83203125" style="51" customWidth="1"/>
    <col min="15876" max="15876" width="13.5" style="51" customWidth="1"/>
    <col min="15877" max="16128" width="10.83203125" style="51"/>
    <col min="16129" max="16129" width="31.5" style="51" customWidth="1"/>
    <col min="16130" max="16131" width="15.83203125" style="51" customWidth="1"/>
    <col min="16132" max="16132" width="13.5" style="51" customWidth="1"/>
    <col min="16133" max="16384" width="10.83203125" style="51"/>
  </cols>
  <sheetData>
    <row r="1" spans="1:16">
      <c r="A1" s="189" t="s">
        <v>366</v>
      </c>
      <c r="B1" s="189" t="s">
        <v>372</v>
      </c>
      <c r="C1" s="189" t="s">
        <v>371</v>
      </c>
      <c r="D1" s="189" t="s">
        <v>376</v>
      </c>
      <c r="E1" s="189" t="s">
        <v>365</v>
      </c>
      <c r="F1" s="189" t="s">
        <v>373</v>
      </c>
      <c r="G1" s="189" t="s">
        <v>374</v>
      </c>
      <c r="H1" s="189" t="s">
        <v>134</v>
      </c>
      <c r="I1" s="189" t="s">
        <v>364</v>
      </c>
      <c r="J1" s="280" t="s">
        <v>281</v>
      </c>
      <c r="K1" s="280" t="s">
        <v>377</v>
      </c>
      <c r="L1" s="189" t="s">
        <v>168</v>
      </c>
      <c r="M1" s="189" t="s">
        <v>375</v>
      </c>
      <c r="N1" s="189" t="s">
        <v>361</v>
      </c>
      <c r="O1" s="189" t="s">
        <v>362</v>
      </c>
      <c r="P1" s="123" t="s">
        <v>283</v>
      </c>
    </row>
    <row r="2" spans="1:16">
      <c r="A2" s="238" t="s">
        <v>16</v>
      </c>
      <c r="B2" s="238">
        <v>5</v>
      </c>
      <c r="C2" s="238">
        <v>5</v>
      </c>
      <c r="D2" s="54" t="s">
        <v>66</v>
      </c>
      <c r="E2" s="238" t="s">
        <v>16</v>
      </c>
      <c r="F2" s="118" t="s">
        <v>262</v>
      </c>
      <c r="G2" s="238">
        <v>5</v>
      </c>
      <c r="H2" s="52">
        <v>0</v>
      </c>
      <c r="I2" s="238" t="s">
        <v>16</v>
      </c>
      <c r="J2" s="52"/>
      <c r="K2" s="53">
        <v>0.5</v>
      </c>
      <c r="L2" s="238" t="s">
        <v>16</v>
      </c>
      <c r="M2" s="238">
        <v>5</v>
      </c>
      <c r="N2" s="382">
        <v>0.25</v>
      </c>
      <c r="O2" s="382">
        <v>0.91666666666666663</v>
      </c>
      <c r="P2" s="292">
        <f>DATE(Start!$D$2,1,1)</f>
        <v>46023</v>
      </c>
    </row>
    <row r="3" spans="1:16">
      <c r="A3" s="52" t="s">
        <v>224</v>
      </c>
      <c r="B3" s="52">
        <v>5.5</v>
      </c>
      <c r="C3" s="52">
        <v>5.5</v>
      </c>
      <c r="D3" s="54" t="s">
        <v>225</v>
      </c>
      <c r="E3" s="52" t="s">
        <v>224</v>
      </c>
      <c r="F3" s="118" t="s">
        <v>263</v>
      </c>
      <c r="G3" s="52">
        <v>5.5</v>
      </c>
      <c r="H3" s="52">
        <v>0</v>
      </c>
      <c r="I3" s="52" t="s">
        <v>224</v>
      </c>
      <c r="J3" s="52">
        <v>1</v>
      </c>
      <c r="K3" s="53">
        <v>1</v>
      </c>
      <c r="L3" s="52" t="s">
        <v>224</v>
      </c>
      <c r="M3" s="52">
        <v>5.5</v>
      </c>
      <c r="N3" s="382">
        <v>0.26041666666666669</v>
      </c>
      <c r="O3" s="382">
        <v>0.92708333333333337</v>
      </c>
      <c r="P3" s="292">
        <f>DATE(Start!$D$2,2,1)</f>
        <v>46054</v>
      </c>
    </row>
    <row r="4" spans="1:16">
      <c r="A4" s="52" t="s">
        <v>87</v>
      </c>
      <c r="B4" s="52">
        <v>6</v>
      </c>
      <c r="C4" s="52">
        <v>6</v>
      </c>
      <c r="D4" s="54" t="s">
        <v>88</v>
      </c>
      <c r="E4" s="52" t="s">
        <v>87</v>
      </c>
      <c r="F4" s="118" t="s">
        <v>264</v>
      </c>
      <c r="G4" s="52">
        <v>6</v>
      </c>
      <c r="H4" s="52">
        <v>0</v>
      </c>
      <c r="I4" s="52" t="s">
        <v>87</v>
      </c>
      <c r="J4" s="52">
        <v>2</v>
      </c>
      <c r="K4" s="53">
        <v>1.5</v>
      </c>
      <c r="L4" s="52" t="s">
        <v>87</v>
      </c>
      <c r="M4" s="52">
        <v>6</v>
      </c>
      <c r="N4" s="382">
        <v>0.27083333333333298</v>
      </c>
      <c r="O4" s="382">
        <v>0.9375</v>
      </c>
      <c r="P4" s="292">
        <f>DATE(Start!$D$2,3,1)</f>
        <v>46082</v>
      </c>
    </row>
    <row r="5" spans="1:16">
      <c r="A5" s="52" t="s">
        <v>183</v>
      </c>
      <c r="B5" s="52">
        <v>6.25</v>
      </c>
      <c r="C5" s="52">
        <v>6.25</v>
      </c>
      <c r="D5" s="54" t="s">
        <v>184</v>
      </c>
      <c r="E5" s="52" t="s">
        <v>183</v>
      </c>
      <c r="F5" s="118" t="s">
        <v>265</v>
      </c>
      <c r="G5" s="52">
        <v>6.25</v>
      </c>
      <c r="H5" s="52">
        <v>0</v>
      </c>
      <c r="I5" s="52" t="s">
        <v>183</v>
      </c>
      <c r="J5" s="52">
        <v>3</v>
      </c>
      <c r="K5" s="53">
        <v>2</v>
      </c>
      <c r="L5" s="52" t="s">
        <v>183</v>
      </c>
      <c r="M5" s="52">
        <v>6.25</v>
      </c>
      <c r="N5" s="382">
        <v>0.28125</v>
      </c>
      <c r="O5" s="382">
        <v>0.94791666666666696</v>
      </c>
      <c r="P5" s="292">
        <f>DATE(Start!$D$2,4,1)</f>
        <v>46113</v>
      </c>
    </row>
    <row r="6" spans="1:16">
      <c r="A6" s="52" t="s">
        <v>208</v>
      </c>
      <c r="B6" s="52">
        <v>6.5</v>
      </c>
      <c r="C6" s="52">
        <v>6.5</v>
      </c>
      <c r="D6" s="54" t="s">
        <v>210</v>
      </c>
      <c r="E6" s="52" t="s">
        <v>208</v>
      </c>
      <c r="F6" s="118" t="s">
        <v>266</v>
      </c>
      <c r="G6" s="52">
        <v>6.5</v>
      </c>
      <c r="H6" s="52">
        <v>0</v>
      </c>
      <c r="I6" s="52" t="s">
        <v>208</v>
      </c>
      <c r="J6" s="52">
        <v>4</v>
      </c>
      <c r="K6" s="53">
        <v>2.5</v>
      </c>
      <c r="L6" s="52" t="s">
        <v>208</v>
      </c>
      <c r="M6" s="52">
        <v>6.5</v>
      </c>
      <c r="N6" s="382">
        <v>0.29166666666666702</v>
      </c>
      <c r="O6" s="382">
        <v>0.95833333333333404</v>
      </c>
      <c r="P6" s="292">
        <f>DATE(Start!$D$2,5,1)</f>
        <v>46143</v>
      </c>
    </row>
    <row r="7" spans="1:16">
      <c r="A7" s="238" t="s">
        <v>85</v>
      </c>
      <c r="B7" s="238">
        <v>7</v>
      </c>
      <c r="C7" s="238">
        <v>7</v>
      </c>
      <c r="D7" s="54" t="s">
        <v>86</v>
      </c>
      <c r="E7" s="238" t="s">
        <v>85</v>
      </c>
      <c r="F7" s="118" t="s">
        <v>267</v>
      </c>
      <c r="G7" s="238">
        <v>7</v>
      </c>
      <c r="H7" s="52">
        <v>0</v>
      </c>
      <c r="I7" s="238" t="s">
        <v>85</v>
      </c>
      <c r="J7" s="52">
        <v>5</v>
      </c>
      <c r="K7" s="53">
        <v>3</v>
      </c>
      <c r="L7" s="238" t="s">
        <v>85</v>
      </c>
      <c r="M7" s="238">
        <v>7</v>
      </c>
      <c r="N7" s="382">
        <v>0.30208333333333298</v>
      </c>
      <c r="O7" s="382">
        <v>0.96875</v>
      </c>
      <c r="P7" s="292">
        <f>DATE(Start!$D$2,6,1)</f>
        <v>46174</v>
      </c>
    </row>
    <row r="8" spans="1:16">
      <c r="A8" s="52" t="s">
        <v>212</v>
      </c>
      <c r="B8" s="52">
        <v>7.5</v>
      </c>
      <c r="C8" s="52">
        <v>7.5</v>
      </c>
      <c r="D8" s="54" t="s">
        <v>218</v>
      </c>
      <c r="E8" s="52" t="s">
        <v>212</v>
      </c>
      <c r="F8" s="118" t="s">
        <v>268</v>
      </c>
      <c r="G8" s="52">
        <v>7.5</v>
      </c>
      <c r="H8" s="52">
        <v>0</v>
      </c>
      <c r="I8" s="52" t="s">
        <v>212</v>
      </c>
      <c r="J8" s="52">
        <v>6</v>
      </c>
      <c r="K8" s="53">
        <v>3.5</v>
      </c>
      <c r="L8" s="52" t="s">
        <v>212</v>
      </c>
      <c r="M8" s="52">
        <v>7.5</v>
      </c>
      <c r="N8" s="382">
        <v>0.3125</v>
      </c>
      <c r="O8" s="382">
        <v>0.97916666666666696</v>
      </c>
      <c r="P8" s="292">
        <f>DATE(Start!$D$2,7,1)</f>
        <v>46204</v>
      </c>
    </row>
    <row r="9" spans="1:16">
      <c r="A9" s="238" t="s">
        <v>71</v>
      </c>
      <c r="B9" s="238">
        <v>8</v>
      </c>
      <c r="C9" s="238">
        <v>8</v>
      </c>
      <c r="D9" s="54" t="s">
        <v>67</v>
      </c>
      <c r="E9" s="238" t="s">
        <v>71</v>
      </c>
      <c r="F9" s="118" t="s">
        <v>269</v>
      </c>
      <c r="G9" s="238">
        <v>8</v>
      </c>
      <c r="H9" s="52">
        <v>0</v>
      </c>
      <c r="I9" s="238" t="s">
        <v>71</v>
      </c>
      <c r="J9" s="52">
        <v>7</v>
      </c>
      <c r="K9" s="53">
        <v>4</v>
      </c>
      <c r="L9" s="238" t="s">
        <v>71</v>
      </c>
      <c r="M9" s="238">
        <v>8</v>
      </c>
      <c r="N9" s="382">
        <v>0.32291666666666702</v>
      </c>
      <c r="O9" s="382">
        <v>0.98958333333333404</v>
      </c>
      <c r="P9" s="292">
        <f>DATE(Start!$D$2,8,1)</f>
        <v>46235</v>
      </c>
    </row>
    <row r="10" spans="1:16">
      <c r="A10" s="52" t="s">
        <v>213</v>
      </c>
      <c r="B10" s="52">
        <v>8.5</v>
      </c>
      <c r="C10" s="52">
        <v>8.5</v>
      </c>
      <c r="D10" s="54" t="s">
        <v>219</v>
      </c>
      <c r="E10" s="52" t="s">
        <v>213</v>
      </c>
      <c r="F10" s="118" t="s">
        <v>270</v>
      </c>
      <c r="G10" s="52">
        <v>8.5</v>
      </c>
      <c r="H10" s="52">
        <v>0</v>
      </c>
      <c r="I10" s="52" t="s">
        <v>213</v>
      </c>
      <c r="J10" s="52">
        <v>8</v>
      </c>
      <c r="K10" s="53">
        <v>4.5</v>
      </c>
      <c r="L10" s="52" t="s">
        <v>213</v>
      </c>
      <c r="M10" s="52">
        <v>8.5</v>
      </c>
      <c r="N10" s="382">
        <v>0.33333333333333298</v>
      </c>
      <c r="O10" s="382">
        <v>1</v>
      </c>
      <c r="P10" s="292">
        <f>DATE(Start!$D$2,9,1)</f>
        <v>46266</v>
      </c>
    </row>
    <row r="11" spans="1:16">
      <c r="A11" s="238" t="s">
        <v>83</v>
      </c>
      <c r="B11" s="238">
        <v>9</v>
      </c>
      <c r="C11" s="238">
        <v>9</v>
      </c>
      <c r="D11" s="54" t="s">
        <v>84</v>
      </c>
      <c r="E11" s="238" t="s">
        <v>83</v>
      </c>
      <c r="F11" s="118" t="s">
        <v>271</v>
      </c>
      <c r="G11" s="238">
        <v>9</v>
      </c>
      <c r="H11" s="52">
        <v>0</v>
      </c>
      <c r="I11" s="238" t="s">
        <v>83</v>
      </c>
      <c r="J11" s="52">
        <v>9</v>
      </c>
      <c r="K11" s="53">
        <v>5</v>
      </c>
      <c r="L11" s="238" t="s">
        <v>83</v>
      </c>
      <c r="M11" s="238">
        <v>9</v>
      </c>
      <c r="N11" s="382">
        <v>0.34375</v>
      </c>
      <c r="O11" s="382">
        <v>1.0104166666666701</v>
      </c>
      <c r="P11" s="292">
        <f>DATE(Start!$D$2,10,1)</f>
        <v>46296</v>
      </c>
    </row>
    <row r="12" spans="1:16">
      <c r="A12" s="52" t="s">
        <v>214</v>
      </c>
      <c r="B12" s="52">
        <v>9.5</v>
      </c>
      <c r="C12" s="52">
        <v>9.5</v>
      </c>
      <c r="D12" s="54" t="s">
        <v>220</v>
      </c>
      <c r="E12" s="52" t="s">
        <v>214</v>
      </c>
      <c r="F12" s="118" t="s">
        <v>272</v>
      </c>
      <c r="G12" s="52">
        <v>9.5</v>
      </c>
      <c r="H12" s="52">
        <v>0</v>
      </c>
      <c r="I12" s="52" t="s">
        <v>214</v>
      </c>
      <c r="J12" s="52">
        <v>19</v>
      </c>
      <c r="K12" s="53">
        <v>5.5</v>
      </c>
      <c r="L12" s="52" t="s">
        <v>214</v>
      </c>
      <c r="M12" s="52">
        <v>9.5</v>
      </c>
      <c r="N12" s="382">
        <v>0.35416666666666702</v>
      </c>
      <c r="O12" s="382">
        <v>1.0208333333333299</v>
      </c>
      <c r="P12" s="292">
        <f>DATE(Start!$D$2,11,1)</f>
        <v>46327</v>
      </c>
    </row>
    <row r="13" spans="1:16">
      <c r="A13" s="52" t="s">
        <v>407</v>
      </c>
      <c r="B13" s="238">
        <v>10</v>
      </c>
      <c r="C13" s="238">
        <v>10</v>
      </c>
      <c r="D13" s="54" t="s">
        <v>408</v>
      </c>
      <c r="E13" s="52" t="s">
        <v>407</v>
      </c>
      <c r="F13" s="118" t="s">
        <v>273</v>
      </c>
      <c r="G13" s="238">
        <v>10</v>
      </c>
      <c r="H13" s="52">
        <v>0</v>
      </c>
      <c r="I13" s="52" t="s">
        <v>407</v>
      </c>
      <c r="J13" s="52">
        <v>11</v>
      </c>
      <c r="K13" s="53">
        <v>6</v>
      </c>
      <c r="L13" s="52" t="s">
        <v>407</v>
      </c>
      <c r="M13" s="238">
        <v>10</v>
      </c>
      <c r="N13" s="382">
        <v>0.36458333333333398</v>
      </c>
      <c r="O13" s="382">
        <v>1.03125</v>
      </c>
      <c r="P13" s="292">
        <f>DATE(Start!$D$2,12,1)</f>
        <v>46357</v>
      </c>
    </row>
    <row r="14" spans="1:16">
      <c r="A14" s="52" t="s">
        <v>215</v>
      </c>
      <c r="B14" s="52">
        <v>10.5</v>
      </c>
      <c r="C14" s="52">
        <v>10.5</v>
      </c>
      <c r="D14" s="54" t="s">
        <v>221</v>
      </c>
      <c r="E14" s="52" t="s">
        <v>215</v>
      </c>
      <c r="F14" s="118" t="s">
        <v>274</v>
      </c>
      <c r="G14" s="52">
        <v>10.5</v>
      </c>
      <c r="H14" s="52">
        <v>0</v>
      </c>
      <c r="I14" s="52" t="s">
        <v>215</v>
      </c>
      <c r="J14" s="52">
        <v>12</v>
      </c>
      <c r="K14" s="53">
        <v>6.5</v>
      </c>
      <c r="L14" s="52" t="s">
        <v>215</v>
      </c>
      <c r="M14" s="52">
        <v>10.5</v>
      </c>
      <c r="N14" s="382">
        <v>0.375</v>
      </c>
      <c r="O14" s="382">
        <v>1.0416666666666701</v>
      </c>
      <c r="P14" s="292">
        <f>DATE(Start!$D$2+1,1,1)</f>
        <v>46388</v>
      </c>
    </row>
    <row r="15" spans="1:16">
      <c r="A15" s="52" t="s">
        <v>216</v>
      </c>
      <c r="B15" s="52">
        <v>11</v>
      </c>
      <c r="C15" s="52">
        <v>11</v>
      </c>
      <c r="D15" s="54" t="s">
        <v>222</v>
      </c>
      <c r="E15" s="52" t="s">
        <v>216</v>
      </c>
      <c r="F15" s="118" t="s">
        <v>275</v>
      </c>
      <c r="G15" s="52">
        <v>11</v>
      </c>
      <c r="H15" s="52">
        <v>0</v>
      </c>
      <c r="I15" s="52" t="s">
        <v>216</v>
      </c>
      <c r="J15" s="52">
        <v>13</v>
      </c>
      <c r="K15" s="53">
        <v>7</v>
      </c>
      <c r="L15" s="52" t="s">
        <v>216</v>
      </c>
      <c r="M15" s="52">
        <v>11</v>
      </c>
      <c r="N15" s="382">
        <v>0.38541666666666702</v>
      </c>
      <c r="O15" s="382">
        <v>1.0520833333333299</v>
      </c>
      <c r="P15" s="292">
        <f>DATE(Start!$D$2+1,2,1)</f>
        <v>46419</v>
      </c>
    </row>
    <row r="16" spans="1:16">
      <c r="A16" s="238" t="s">
        <v>209</v>
      </c>
      <c r="B16" s="238">
        <v>11.5</v>
      </c>
      <c r="C16" s="238">
        <v>11.5</v>
      </c>
      <c r="D16" s="54" t="s">
        <v>211</v>
      </c>
      <c r="E16" s="238" t="s">
        <v>209</v>
      </c>
      <c r="F16" s="118" t="s">
        <v>276</v>
      </c>
      <c r="G16" s="238">
        <v>11.5</v>
      </c>
      <c r="H16" s="52">
        <v>0</v>
      </c>
      <c r="I16" s="238" t="s">
        <v>209</v>
      </c>
      <c r="J16" s="52">
        <v>14</v>
      </c>
      <c r="K16" s="53">
        <v>7.5</v>
      </c>
      <c r="L16" s="238" t="s">
        <v>209</v>
      </c>
      <c r="M16" s="238">
        <v>11.5</v>
      </c>
      <c r="N16" s="382">
        <v>0.39583333333333398</v>
      </c>
      <c r="O16" s="382">
        <v>1.0625</v>
      </c>
      <c r="P16" s="292">
        <f>DATE(Start!$D$2+1,3,1)</f>
        <v>46447</v>
      </c>
    </row>
    <row r="17" spans="1:16">
      <c r="A17" s="52" t="s">
        <v>217</v>
      </c>
      <c r="B17" s="52">
        <v>12</v>
      </c>
      <c r="C17" s="52">
        <v>12</v>
      </c>
      <c r="D17" s="54" t="s">
        <v>223</v>
      </c>
      <c r="E17" s="52" t="s">
        <v>217</v>
      </c>
      <c r="F17" s="118" t="s">
        <v>277</v>
      </c>
      <c r="G17" s="52">
        <v>12</v>
      </c>
      <c r="H17" s="52">
        <v>0</v>
      </c>
      <c r="I17" s="52" t="s">
        <v>217</v>
      </c>
      <c r="J17" s="52">
        <v>15</v>
      </c>
      <c r="K17" s="53">
        <v>8</v>
      </c>
      <c r="L17" s="52" t="s">
        <v>217</v>
      </c>
      <c r="M17" s="52">
        <v>12</v>
      </c>
      <c r="N17" s="382">
        <v>0.40625</v>
      </c>
      <c r="O17" s="382">
        <v>1.0729166666666701</v>
      </c>
      <c r="P17" s="292">
        <f>DATE(Start!$D$2+1,4,1)</f>
        <v>46478</v>
      </c>
    </row>
    <row r="18" spans="1:16">
      <c r="A18" s="238" t="s">
        <v>118</v>
      </c>
      <c r="B18" s="238">
        <v>12.5</v>
      </c>
      <c r="C18" s="238">
        <v>12.5</v>
      </c>
      <c r="D18" s="54" t="s">
        <v>119</v>
      </c>
      <c r="E18" s="238" t="s">
        <v>118</v>
      </c>
      <c r="F18" s="118" t="s">
        <v>278</v>
      </c>
      <c r="G18" s="238">
        <v>12.5</v>
      </c>
      <c r="H18" s="52">
        <v>0</v>
      </c>
      <c r="I18" s="238" t="s">
        <v>118</v>
      </c>
      <c r="K18" s="53">
        <v>8.5</v>
      </c>
      <c r="L18" s="238" t="s">
        <v>118</v>
      </c>
      <c r="M18" s="238">
        <v>12.5</v>
      </c>
      <c r="N18" s="382">
        <v>0.41666666666666702</v>
      </c>
      <c r="O18" s="382">
        <v>1.0833333333333299</v>
      </c>
      <c r="P18" s="292">
        <f>DATE(Start!$D$2+1,5,1)</f>
        <v>46508</v>
      </c>
    </row>
    <row r="19" spans="1:16">
      <c r="A19" s="52" t="s">
        <v>17</v>
      </c>
      <c r="B19" s="52">
        <v>25</v>
      </c>
      <c r="C19" s="52">
        <v>25</v>
      </c>
      <c r="D19" s="54" t="s">
        <v>70</v>
      </c>
      <c r="E19" s="52" t="s">
        <v>17</v>
      </c>
      <c r="F19" s="54" t="s">
        <v>181</v>
      </c>
      <c r="G19" s="52">
        <v>0</v>
      </c>
      <c r="H19" s="52">
        <v>2</v>
      </c>
      <c r="I19" s="52" t="s">
        <v>17</v>
      </c>
      <c r="J19" s="52"/>
      <c r="K19" s="53">
        <v>9</v>
      </c>
      <c r="L19" s="52" t="s">
        <v>17</v>
      </c>
      <c r="M19" s="52">
        <v>0</v>
      </c>
      <c r="N19" s="382">
        <v>0.42708333333333398</v>
      </c>
      <c r="O19" s="382">
        <v>1.09375</v>
      </c>
      <c r="P19" s="292">
        <f>DATE(Start!$D$2+1,6,1)</f>
        <v>46539</v>
      </c>
    </row>
    <row r="20" spans="1:16">
      <c r="A20" s="238" t="s">
        <v>120</v>
      </c>
      <c r="B20" s="238">
        <v>12.5</v>
      </c>
      <c r="C20" s="238">
        <v>12.5</v>
      </c>
      <c r="D20" s="54" t="s">
        <v>121</v>
      </c>
      <c r="E20" s="52" t="s">
        <v>120</v>
      </c>
      <c r="F20" s="54" t="s">
        <v>182</v>
      </c>
      <c r="G20" s="52">
        <v>0</v>
      </c>
      <c r="H20" s="52">
        <v>2</v>
      </c>
      <c r="I20" s="238" t="s">
        <v>120</v>
      </c>
      <c r="J20" s="52"/>
      <c r="K20" s="53">
        <v>9.5</v>
      </c>
      <c r="L20" s="238" t="s">
        <v>120</v>
      </c>
      <c r="M20" s="238">
        <v>0</v>
      </c>
      <c r="N20" s="382">
        <v>0.4375</v>
      </c>
      <c r="O20" s="382">
        <v>1.1041666666666701</v>
      </c>
      <c r="P20" s="292">
        <f>DATE(Start!$D$2+1,7,1)</f>
        <v>46569</v>
      </c>
    </row>
    <row r="21" spans="1:16">
      <c r="A21" s="52" t="s">
        <v>18</v>
      </c>
      <c r="B21" s="52" t="s">
        <v>19</v>
      </c>
      <c r="C21" s="383">
        <f>Gehalt!$E$38</f>
        <v>8</v>
      </c>
      <c r="D21" s="54" t="s">
        <v>20</v>
      </c>
      <c r="E21" s="52" t="s">
        <v>18</v>
      </c>
      <c r="F21" s="51" t="s">
        <v>176</v>
      </c>
      <c r="G21" s="52">
        <v>0</v>
      </c>
      <c r="H21" s="398">
        <f>-Gehalt!$E$38</f>
        <v>-8</v>
      </c>
      <c r="I21" s="238" t="s">
        <v>22</v>
      </c>
      <c r="J21" s="189" t="s">
        <v>378</v>
      </c>
      <c r="K21" s="53">
        <v>10</v>
      </c>
      <c r="L21" s="52" t="s">
        <v>18</v>
      </c>
      <c r="M21" s="52">
        <v>0</v>
      </c>
      <c r="N21" s="382">
        <v>0.44791666666666702</v>
      </c>
      <c r="O21" s="382">
        <v>1.1145833333333299</v>
      </c>
      <c r="P21" s="292">
        <f>DATE(Start!$D$2+1,8,1)</f>
        <v>46600</v>
      </c>
    </row>
    <row r="22" spans="1:16">
      <c r="A22" s="52" t="s">
        <v>21</v>
      </c>
      <c r="B22" s="52">
        <v>0</v>
      </c>
      <c r="C22" s="383">
        <f>Gehalt!$E$38</f>
        <v>8</v>
      </c>
      <c r="D22" s="54" t="s">
        <v>126</v>
      </c>
      <c r="E22" s="52" t="s">
        <v>21</v>
      </c>
      <c r="F22" s="51" t="s">
        <v>177</v>
      </c>
      <c r="G22" s="52">
        <v>0</v>
      </c>
      <c r="H22" s="398">
        <f>-Gehalt!$E$38</f>
        <v>-8</v>
      </c>
      <c r="I22" s="52" t="s">
        <v>69</v>
      </c>
      <c r="J22" s="53">
        <v>1</v>
      </c>
      <c r="K22" s="53">
        <v>10.5</v>
      </c>
      <c r="L22" s="52" t="s">
        <v>21</v>
      </c>
      <c r="M22" s="52">
        <v>0</v>
      </c>
      <c r="N22" s="382">
        <v>0.45833333333333398</v>
      </c>
      <c r="O22" s="382">
        <v>1.125</v>
      </c>
      <c r="P22" s="292">
        <f>DATE(Start!$D$2+1,9,1)</f>
        <v>46631</v>
      </c>
    </row>
    <row r="23" spans="1:16">
      <c r="A23" s="238" t="s">
        <v>130</v>
      </c>
      <c r="B23" s="238">
        <v>0</v>
      </c>
      <c r="C23" s="383">
        <f>Gehalt!$E$38</f>
        <v>8</v>
      </c>
      <c r="D23" s="54" t="s">
        <v>127</v>
      </c>
      <c r="E23" s="238" t="s">
        <v>130</v>
      </c>
      <c r="F23" s="51" t="s">
        <v>178</v>
      </c>
      <c r="G23" s="52">
        <v>0</v>
      </c>
      <c r="H23" s="398">
        <f>-Gehalt!$E$38</f>
        <v>-8</v>
      </c>
      <c r="I23" s="54"/>
      <c r="J23" s="53">
        <v>2</v>
      </c>
      <c r="K23" s="53">
        <v>11</v>
      </c>
      <c r="L23" s="238" t="s">
        <v>130</v>
      </c>
      <c r="M23" s="52">
        <v>0</v>
      </c>
      <c r="N23" s="382">
        <v>0.46875</v>
      </c>
      <c r="O23" s="382">
        <v>1.1354166666666701</v>
      </c>
      <c r="P23" s="292">
        <f>DATE(Start!$D$2+1,10,1)</f>
        <v>46661</v>
      </c>
    </row>
    <row r="24" spans="1:16">
      <c r="A24" s="238" t="s">
        <v>23</v>
      </c>
      <c r="B24" s="238" t="s">
        <v>19</v>
      </c>
      <c r="C24" s="383">
        <f>Gehalt!$E$38</f>
        <v>8</v>
      </c>
      <c r="D24" s="54" t="s">
        <v>24</v>
      </c>
      <c r="E24" s="52" t="s">
        <v>110</v>
      </c>
      <c r="F24" s="51" t="s">
        <v>111</v>
      </c>
      <c r="G24" s="52">
        <v>0</v>
      </c>
      <c r="H24" s="52">
        <v>0</v>
      </c>
      <c r="I24" s="54"/>
      <c r="J24" s="53">
        <v>3</v>
      </c>
      <c r="K24" s="53">
        <v>11.5</v>
      </c>
      <c r="L24" s="238" t="s">
        <v>23</v>
      </c>
      <c r="M24" s="52">
        <v>0</v>
      </c>
      <c r="N24" s="382">
        <v>0.47916666666666702</v>
      </c>
      <c r="O24" s="382">
        <v>1.1458333333333299</v>
      </c>
      <c r="P24" s="292">
        <f>DATE(Start!$D$2+1,11,1)</f>
        <v>46692</v>
      </c>
    </row>
    <row r="25" spans="1:16">
      <c r="A25" s="238" t="s">
        <v>22</v>
      </c>
      <c r="B25" s="238" t="s">
        <v>19</v>
      </c>
      <c r="C25" s="383">
        <f>Gehalt!$E$38</f>
        <v>8</v>
      </c>
      <c r="D25" s="54" t="s">
        <v>76</v>
      </c>
      <c r="E25" s="52" t="s">
        <v>22</v>
      </c>
      <c r="F25" s="51" t="s">
        <v>179</v>
      </c>
      <c r="G25" s="52">
        <v>0</v>
      </c>
      <c r="H25" s="52">
        <v>0</v>
      </c>
      <c r="I25" s="54"/>
      <c r="J25" s="53">
        <v>4</v>
      </c>
      <c r="K25" s="53">
        <v>12</v>
      </c>
      <c r="L25" s="238" t="s">
        <v>22</v>
      </c>
      <c r="M25" s="52">
        <v>0</v>
      </c>
      <c r="N25" s="382">
        <v>0.48958333333333398</v>
      </c>
      <c r="O25" s="382">
        <v>1.15625</v>
      </c>
      <c r="P25" s="292">
        <f>DATE(Start!$D$2+1,12,1)</f>
        <v>46722</v>
      </c>
    </row>
    <row r="26" spans="1:16">
      <c r="A26" s="238" t="s">
        <v>131</v>
      </c>
      <c r="B26" s="238">
        <v>0</v>
      </c>
      <c r="C26" s="383">
        <f>Gehalt!$E$38</f>
        <v>8</v>
      </c>
      <c r="D26" s="54" t="s">
        <v>132</v>
      </c>
      <c r="E26" s="52" t="s">
        <v>131</v>
      </c>
      <c r="F26" s="54" t="s">
        <v>132</v>
      </c>
      <c r="G26" s="52">
        <v>0</v>
      </c>
      <c r="H26" s="398">
        <f>-Gehalt!$E$38</f>
        <v>-8</v>
      </c>
      <c r="J26" s="53">
        <v>5</v>
      </c>
      <c r="K26" s="53">
        <v>12.5</v>
      </c>
      <c r="L26" s="238" t="s">
        <v>131</v>
      </c>
      <c r="M26" s="52">
        <v>0</v>
      </c>
      <c r="N26" s="382">
        <v>0.5</v>
      </c>
      <c r="O26" s="382">
        <v>1.1666666666666701</v>
      </c>
      <c r="P26" s="292">
        <f>DATE(Start!$D$2+2,1,1)</f>
        <v>46753</v>
      </c>
    </row>
    <row r="27" spans="1:16">
      <c r="A27" s="238" t="s">
        <v>69</v>
      </c>
      <c r="B27" s="238" t="s">
        <v>19</v>
      </c>
      <c r="C27" s="383">
        <f>Gehalt!$E$38</f>
        <v>8</v>
      </c>
      <c r="D27" s="54" t="s">
        <v>117</v>
      </c>
      <c r="E27" s="52" t="s">
        <v>69</v>
      </c>
      <c r="F27" s="51" t="s">
        <v>180</v>
      </c>
      <c r="G27" s="52">
        <v>0</v>
      </c>
      <c r="H27" s="52">
        <v>0</v>
      </c>
      <c r="K27" s="53">
        <v>13</v>
      </c>
      <c r="L27" s="238" t="s">
        <v>69</v>
      </c>
      <c r="M27" s="52">
        <v>0</v>
      </c>
      <c r="N27" s="382">
        <v>0.51041666666666696</v>
      </c>
      <c r="O27" s="382">
        <v>1.1770833333333399</v>
      </c>
      <c r="P27" s="292">
        <f>DATE(Start!$D$2+2,2,1)</f>
        <v>46784</v>
      </c>
    </row>
    <row r="28" spans="1:16">
      <c r="A28" s="238" t="s">
        <v>125</v>
      </c>
      <c r="B28" s="238">
        <v>0</v>
      </c>
      <c r="C28" s="238">
        <v>0</v>
      </c>
      <c r="D28" s="54" t="s">
        <v>419</v>
      </c>
      <c r="E28" s="52" t="s">
        <v>125</v>
      </c>
      <c r="F28" s="54" t="s">
        <v>137</v>
      </c>
      <c r="G28" s="52">
        <v>0</v>
      </c>
      <c r="H28" s="52">
        <v>0</v>
      </c>
      <c r="I28" s="54"/>
      <c r="K28" s="53">
        <v>13.5</v>
      </c>
      <c r="L28" s="238" t="s">
        <v>125</v>
      </c>
      <c r="M28" s="52">
        <v>0</v>
      </c>
      <c r="N28" s="382">
        <v>0.52083333333333404</v>
      </c>
      <c r="O28" s="382">
        <v>1.1875</v>
      </c>
      <c r="P28" s="292">
        <f>DATE(Start!$D$2+2,3,1)</f>
        <v>46813</v>
      </c>
    </row>
    <row r="29" spans="1:16">
      <c r="A29" s="52" t="s">
        <v>279</v>
      </c>
      <c r="B29" s="52">
        <v>0</v>
      </c>
      <c r="C29" s="52">
        <v>0</v>
      </c>
      <c r="D29" s="51" t="s">
        <v>280</v>
      </c>
      <c r="E29" s="52" t="s">
        <v>279</v>
      </c>
      <c r="G29" s="52">
        <v>0</v>
      </c>
      <c r="H29" s="52">
        <v>0</v>
      </c>
      <c r="I29" s="54"/>
      <c r="K29" s="53">
        <v>14</v>
      </c>
      <c r="L29" s="52" t="s">
        <v>279</v>
      </c>
      <c r="M29" s="52">
        <v>0</v>
      </c>
      <c r="N29" s="382">
        <v>0.53125</v>
      </c>
      <c r="O29" s="382">
        <v>1.1979166666666701</v>
      </c>
      <c r="P29" s="292">
        <f>DATE(Start!$D$2+2,4,1)</f>
        <v>46844</v>
      </c>
    </row>
    <row r="30" spans="1:16">
      <c r="A30" s="52" t="s">
        <v>352</v>
      </c>
      <c r="B30" s="52">
        <v>0</v>
      </c>
      <c r="C30" s="52">
        <v>0</v>
      </c>
      <c r="D30" s="51" t="s">
        <v>353</v>
      </c>
      <c r="E30" s="52" t="s">
        <v>352</v>
      </c>
      <c r="G30" s="52">
        <v>0</v>
      </c>
      <c r="H30" s="52">
        <v>0</v>
      </c>
      <c r="I30" s="54"/>
      <c r="K30" s="53">
        <v>14.5</v>
      </c>
      <c r="L30" s="52" t="s">
        <v>352</v>
      </c>
      <c r="M30" s="52">
        <v>0</v>
      </c>
      <c r="N30" s="382">
        <v>0.54166666666666696</v>
      </c>
      <c r="O30" s="382">
        <v>1.2083333333333399</v>
      </c>
      <c r="P30" s="292">
        <f>DATE(Start!$D$2+2,5,1)</f>
        <v>46874</v>
      </c>
    </row>
    <row r="31" spans="1:16">
      <c r="A31" s="428" t="s">
        <v>409</v>
      </c>
      <c r="B31" s="238" t="s">
        <v>19</v>
      </c>
      <c r="C31" s="383">
        <f>Gehalt!$E$38</f>
        <v>8</v>
      </c>
      <c r="D31" s="51" t="s">
        <v>410</v>
      </c>
      <c r="G31" s="52">
        <v>0</v>
      </c>
      <c r="H31" s="52">
        <v>0</v>
      </c>
      <c r="K31" s="53">
        <v>15</v>
      </c>
      <c r="L31" s="52"/>
      <c r="M31" s="52"/>
      <c r="N31" s="382">
        <v>0.55208333333333404</v>
      </c>
      <c r="O31" s="382">
        <v>1.21875</v>
      </c>
      <c r="P31" s="292">
        <f>DATE(Start!$D$2+2,6,1)</f>
        <v>46905</v>
      </c>
    </row>
    <row r="32" spans="1:16">
      <c r="A32" s="120"/>
      <c r="B32" s="52"/>
      <c r="C32" s="118"/>
      <c r="H32" s="52"/>
      <c r="K32" s="53">
        <v>15.5</v>
      </c>
      <c r="L32" s="52"/>
      <c r="M32" s="52"/>
      <c r="N32" s="382">
        <v>0.562500000000001</v>
      </c>
      <c r="O32" s="382">
        <v>1.2291666666666701</v>
      </c>
      <c r="P32" s="292">
        <f>DATE(Start!$D$2+2,7,1)</f>
        <v>46935</v>
      </c>
    </row>
    <row r="33" spans="1:16">
      <c r="A33" s="120"/>
      <c r="B33" s="238"/>
      <c r="C33" s="118"/>
      <c r="H33" s="52"/>
      <c r="K33" s="53">
        <v>16</v>
      </c>
      <c r="L33" s="52"/>
      <c r="M33" s="52"/>
      <c r="N33" s="382">
        <v>0.57291666666666696</v>
      </c>
      <c r="O33" s="382">
        <v>1.2395833333333399</v>
      </c>
      <c r="P33" s="292">
        <f>DATE(Start!$D$2+2,8,1)</f>
        <v>46966</v>
      </c>
    </row>
    <row r="34" spans="1:16">
      <c r="A34" s="120"/>
      <c r="B34" s="238"/>
      <c r="C34" s="118"/>
      <c r="H34" s="52"/>
      <c r="K34" s="53">
        <v>16.5</v>
      </c>
      <c r="L34" s="52"/>
      <c r="M34" s="52"/>
      <c r="N34" s="382">
        <v>0.58333333333333404</v>
      </c>
      <c r="O34" s="382">
        <v>1.25</v>
      </c>
      <c r="P34" s="292">
        <f>DATE(Start!$D$2+2,9,1)</f>
        <v>46997</v>
      </c>
    </row>
    <row r="35" spans="1:16">
      <c r="A35" s="120"/>
      <c r="B35" s="238"/>
      <c r="C35" s="118"/>
      <c r="H35" s="52"/>
      <c r="K35" s="53">
        <v>17</v>
      </c>
      <c r="L35" s="52"/>
      <c r="M35" s="52"/>
      <c r="N35" s="382">
        <v>0.593750000000001</v>
      </c>
      <c r="P35" s="292">
        <f>DATE(Start!$D$2+2,10,1)</f>
        <v>47027</v>
      </c>
    </row>
    <row r="36" spans="1:16">
      <c r="A36" s="120"/>
      <c r="B36" s="238"/>
      <c r="C36" s="118"/>
      <c r="H36" s="52"/>
      <c r="K36" s="53">
        <v>17.5</v>
      </c>
      <c r="L36" s="52"/>
      <c r="M36" s="52"/>
      <c r="N36" s="382">
        <v>0.60416666666666696</v>
      </c>
      <c r="P36" s="292">
        <f>DATE(Start!$D$2+2,11,1)</f>
        <v>47058</v>
      </c>
    </row>
    <row r="37" spans="1:16">
      <c r="A37" s="120"/>
      <c r="B37" s="238"/>
      <c r="C37" s="118"/>
      <c r="H37" s="52"/>
      <c r="K37" s="53">
        <v>18</v>
      </c>
      <c r="L37" s="52"/>
      <c r="M37" s="52"/>
      <c r="N37" s="382">
        <v>0.61458333333333404</v>
      </c>
      <c r="P37" s="292">
        <f>DATE(Start!$D$2+2,12,1)</f>
        <v>47088</v>
      </c>
    </row>
    <row r="38" spans="1:16">
      <c r="A38" s="120"/>
      <c r="B38" s="238"/>
      <c r="C38" s="118"/>
      <c r="K38" s="53">
        <v>18.5</v>
      </c>
      <c r="L38" s="52"/>
      <c r="M38" s="52"/>
      <c r="N38" s="382">
        <v>0.625000000000001</v>
      </c>
      <c r="P38" s="292">
        <f>DATE(Start!$D$2+3,1,1)</f>
        <v>47119</v>
      </c>
    </row>
    <row r="39" spans="1:16">
      <c r="B39" s="52"/>
      <c r="K39" s="53">
        <v>19</v>
      </c>
      <c r="L39" s="52"/>
      <c r="M39" s="52"/>
      <c r="N39" s="382">
        <v>0.63541666666666696</v>
      </c>
      <c r="P39" s="292">
        <f>DATE(Start!$D$2+3,2,1)</f>
        <v>47150</v>
      </c>
    </row>
    <row r="40" spans="1:16">
      <c r="B40" s="52"/>
      <c r="K40" s="53">
        <v>19.5</v>
      </c>
      <c r="L40" s="52"/>
      <c r="M40" s="52"/>
      <c r="N40" s="382">
        <v>0.64583333333333404</v>
      </c>
      <c r="P40" s="292">
        <f>DATE(Start!$D$2+3,3,1)</f>
        <v>47178</v>
      </c>
    </row>
    <row r="41" spans="1:16">
      <c r="A41" s="120"/>
      <c r="B41" s="238"/>
      <c r="K41" s="53">
        <v>20</v>
      </c>
      <c r="L41" s="52"/>
      <c r="M41" s="52"/>
      <c r="N41" s="382">
        <v>0.656250000000001</v>
      </c>
      <c r="P41" s="292">
        <f>DATE(Start!$D$2+3,4,1)</f>
        <v>47209</v>
      </c>
    </row>
    <row r="42" spans="1:16">
      <c r="A42" s="120"/>
      <c r="B42" s="118"/>
      <c r="K42" s="53">
        <v>20.5</v>
      </c>
      <c r="L42" s="52"/>
      <c r="M42" s="52"/>
      <c r="N42" s="382">
        <v>0.66666666666666696</v>
      </c>
      <c r="P42" s="292">
        <f>DATE(Start!$D$2+3,5,1)</f>
        <v>47239</v>
      </c>
    </row>
    <row r="43" spans="1:16">
      <c r="A43" s="120"/>
      <c r="B43" s="118"/>
      <c r="C43" s="118"/>
      <c r="K43" s="53">
        <v>21</v>
      </c>
      <c r="L43" s="52"/>
      <c r="M43" s="52"/>
      <c r="N43" s="382">
        <v>0.67708333333333404</v>
      </c>
      <c r="P43" s="292">
        <f>DATE(Start!$D$2+3,6,1)</f>
        <v>47270</v>
      </c>
    </row>
    <row r="44" spans="1:16">
      <c r="A44" s="120"/>
      <c r="B44" s="118"/>
      <c r="C44" s="118"/>
      <c r="K44" s="53">
        <v>21.5</v>
      </c>
      <c r="L44" s="52"/>
      <c r="M44" s="52"/>
      <c r="N44" s="382">
        <v>0.687500000000001</v>
      </c>
      <c r="P44" s="292">
        <f>DATE(Start!$D$2+3,7,1)</f>
        <v>47300</v>
      </c>
    </row>
    <row r="45" spans="1:16">
      <c r="A45" s="120"/>
      <c r="B45" s="118"/>
      <c r="C45" s="118"/>
      <c r="K45" s="53">
        <v>22</v>
      </c>
      <c r="L45" s="52"/>
      <c r="M45" s="52"/>
      <c r="N45" s="382">
        <v>0.69791666666666696</v>
      </c>
      <c r="P45" s="292">
        <f>DATE(Start!$D$2+3,8,1)</f>
        <v>47331</v>
      </c>
    </row>
    <row r="46" spans="1:16">
      <c r="A46" s="120"/>
      <c r="B46" s="118"/>
      <c r="C46" s="118"/>
      <c r="K46" s="53">
        <v>22.5</v>
      </c>
      <c r="L46" s="52"/>
      <c r="M46" s="52"/>
      <c r="N46" s="382">
        <v>0.70833333333333404</v>
      </c>
      <c r="P46" s="292">
        <f>DATE(Start!$D$2+3,9,1)</f>
        <v>47362</v>
      </c>
    </row>
    <row r="47" spans="1:16">
      <c r="A47" s="120"/>
      <c r="B47" s="118"/>
      <c r="C47" s="118"/>
      <c r="K47" s="53">
        <v>23</v>
      </c>
      <c r="L47" s="52"/>
      <c r="M47" s="52"/>
      <c r="N47" s="382">
        <v>0.718750000000001</v>
      </c>
      <c r="P47" s="292">
        <f>DATE(Start!$D$2+3,10,1)</f>
        <v>47392</v>
      </c>
    </row>
    <row r="48" spans="1:16" s="51" customFormat="1" thickBot="1">
      <c r="A48" s="388"/>
      <c r="B48" s="389"/>
      <c r="C48" s="389"/>
      <c r="D48" s="386"/>
      <c r="E48" s="386"/>
      <c r="F48" s="386"/>
      <c r="G48" s="386"/>
      <c r="H48" s="386"/>
      <c r="I48" s="386"/>
      <c r="J48" s="386"/>
      <c r="K48" s="53">
        <v>23.5</v>
      </c>
      <c r="L48" s="52"/>
      <c r="M48" s="52"/>
      <c r="N48" s="382">
        <v>0.72916666666666796</v>
      </c>
      <c r="O48" s="53"/>
      <c r="P48" s="292">
        <f>DATE(Start!$D$2+3,11,1)</f>
        <v>47423</v>
      </c>
    </row>
    <row r="49" spans="1:16" ht="16" thickTop="1">
      <c r="A49" s="384" t="s">
        <v>363</v>
      </c>
      <c r="B49" s="118"/>
      <c r="C49" s="118"/>
      <c r="F49" s="123"/>
      <c r="J49" s="393"/>
      <c r="K49" s="53">
        <v>24</v>
      </c>
      <c r="L49" s="52"/>
      <c r="M49" s="52"/>
      <c r="N49" s="382">
        <v>0.73958333333333404</v>
      </c>
      <c r="P49" s="292">
        <f>DATE(Start!$D$2+3,12,1)</f>
        <v>47453</v>
      </c>
    </row>
    <row r="50" spans="1:16">
      <c r="A50" s="120"/>
      <c r="F50" s="189"/>
      <c r="G50" s="53"/>
      <c r="H50" s="53"/>
      <c r="I50" s="53"/>
      <c r="J50" s="394"/>
      <c r="K50" s="53">
        <v>24.5</v>
      </c>
      <c r="L50" s="53"/>
      <c r="M50" s="53"/>
      <c r="N50" s="382">
        <v>0.750000000000001</v>
      </c>
      <c r="P50" s="292">
        <f>DATE(Start!$D$2+4,1,1)</f>
        <v>47484</v>
      </c>
    </row>
    <row r="51" spans="1:16">
      <c r="A51" s="643" t="s">
        <v>326</v>
      </c>
      <c r="B51" s="644"/>
      <c r="C51" s="645"/>
      <c r="F51" s="118"/>
      <c r="G51" s="131"/>
      <c r="H51" s="212"/>
      <c r="I51" s="212"/>
      <c r="J51" s="394"/>
      <c r="K51" s="53">
        <v>25</v>
      </c>
      <c r="L51" s="212"/>
      <c r="M51" s="212"/>
      <c r="N51" s="382">
        <v>0.76041666666666796</v>
      </c>
      <c r="P51" s="292">
        <f>DATE(Start!$D$2+4,2,1)</f>
        <v>47515</v>
      </c>
    </row>
    <row r="52" spans="1:16">
      <c r="A52" s="390" t="s">
        <v>327</v>
      </c>
      <c r="C52" s="371">
        <v>200</v>
      </c>
      <c r="D52" s="51" t="s">
        <v>290</v>
      </c>
      <c r="G52" s="131"/>
      <c r="H52" s="212"/>
      <c r="I52" s="212"/>
      <c r="J52" s="394"/>
      <c r="K52" s="53">
        <v>25.5</v>
      </c>
      <c r="L52" s="212"/>
      <c r="M52" s="212"/>
      <c r="N52" s="382">
        <v>0.77083333333333404</v>
      </c>
      <c r="P52" s="292">
        <f>DATE(Start!$D$2+4,3,1)</f>
        <v>47543</v>
      </c>
    </row>
    <row r="53" spans="1:16">
      <c r="A53" s="390" t="s">
        <v>367</v>
      </c>
      <c r="C53" s="370">
        <v>214</v>
      </c>
      <c r="D53" s="51" t="s">
        <v>291</v>
      </c>
      <c r="G53" s="131"/>
      <c r="H53" s="212"/>
      <c r="I53" s="212"/>
      <c r="J53" s="394"/>
      <c r="K53" s="53">
        <v>26</v>
      </c>
      <c r="L53" s="212"/>
      <c r="M53" s="212"/>
      <c r="N53" s="382">
        <v>0.781250000000001</v>
      </c>
      <c r="P53" s="292">
        <f>DATE(Start!$D$2+4,4,1)</f>
        <v>47574</v>
      </c>
    </row>
    <row r="54" spans="1:16">
      <c r="A54" s="390" t="s">
        <v>368</v>
      </c>
      <c r="C54" s="370">
        <v>240</v>
      </c>
      <c r="G54" s="131"/>
      <c r="H54" s="212"/>
      <c r="I54" s="212"/>
      <c r="J54" s="394"/>
      <c r="K54" s="53">
        <v>26.5</v>
      </c>
      <c r="L54" s="212"/>
      <c r="M54" s="212"/>
      <c r="N54" s="382">
        <v>0.79166666666666796</v>
      </c>
      <c r="P54" s="292">
        <f>DATE(Start!$D$2+4,5,1)</f>
        <v>47604</v>
      </c>
    </row>
    <row r="55" spans="1:16">
      <c r="A55" s="390" t="s">
        <v>369</v>
      </c>
      <c r="C55" s="371">
        <v>264</v>
      </c>
      <c r="G55" s="131"/>
      <c r="H55" s="212"/>
      <c r="I55" s="212"/>
      <c r="J55" s="394"/>
      <c r="K55" s="53">
        <v>27</v>
      </c>
      <c r="L55" s="212"/>
      <c r="M55" s="212"/>
      <c r="N55" s="382">
        <v>0.80208333333333404</v>
      </c>
      <c r="P55" s="292">
        <f>DATE(Start!$D$2+4,6,1)</f>
        <v>47635</v>
      </c>
    </row>
    <row r="56" spans="1:16">
      <c r="A56" s="391" t="s">
        <v>370</v>
      </c>
      <c r="B56" s="121"/>
      <c r="C56" s="392">
        <v>280</v>
      </c>
      <c r="F56" s="118"/>
      <c r="G56" s="131"/>
      <c r="H56" s="212"/>
      <c r="I56" s="212"/>
      <c r="J56" s="394"/>
      <c r="K56" s="53">
        <v>27.5</v>
      </c>
      <c r="L56" s="212"/>
      <c r="M56" s="212"/>
      <c r="N56" s="382">
        <v>0.812500000000001</v>
      </c>
      <c r="P56" s="292">
        <f>DATE(Start!$D$2+4,7,1)</f>
        <v>47665</v>
      </c>
    </row>
    <row r="57" spans="1:16">
      <c r="A57" s="52"/>
      <c r="B57" s="118"/>
      <c r="C57" s="122"/>
      <c r="G57" s="131"/>
      <c r="H57" s="212"/>
      <c r="I57" s="212"/>
      <c r="J57" s="395"/>
      <c r="K57" s="53">
        <v>28</v>
      </c>
      <c r="L57" s="212"/>
      <c r="M57" s="212"/>
      <c r="N57" s="382">
        <v>0.82291666666666796</v>
      </c>
      <c r="P57" s="292">
        <f>DATE(Start!$D$2+4,8,1)</f>
        <v>47696</v>
      </c>
    </row>
    <row r="58" spans="1:16">
      <c r="A58" s="52"/>
      <c r="C58" s="122"/>
      <c r="D58" s="51" t="s">
        <v>144</v>
      </c>
      <c r="F58" s="118"/>
      <c r="G58" s="131"/>
      <c r="H58" s="212"/>
      <c r="I58" s="212"/>
      <c r="J58" s="395"/>
      <c r="K58" s="53">
        <v>28.5</v>
      </c>
      <c r="L58" s="212"/>
      <c r="M58" s="212"/>
      <c r="N58" s="382">
        <v>0.83333333333333404</v>
      </c>
      <c r="P58" s="292">
        <f>DATE(Start!$D$2+4,9,1)</f>
        <v>47727</v>
      </c>
    </row>
    <row r="59" spans="1:16">
      <c r="A59" s="52"/>
      <c r="B59" s="118"/>
      <c r="C59" s="122"/>
      <c r="D59" s="51" t="s">
        <v>145</v>
      </c>
      <c r="G59" s="131"/>
      <c r="H59" s="212"/>
      <c r="I59" s="212"/>
      <c r="J59" s="395"/>
      <c r="K59" s="53">
        <v>29</v>
      </c>
      <c r="L59" s="212"/>
      <c r="M59" s="212"/>
      <c r="N59" s="382">
        <v>0.843750000000001</v>
      </c>
      <c r="P59" s="292">
        <f>DATE(Start!$D$2+4,10,1)</f>
        <v>47757</v>
      </c>
    </row>
    <row r="60" spans="1:16">
      <c r="A60" s="52"/>
      <c r="C60" s="122"/>
      <c r="F60" s="118"/>
      <c r="G60" s="131"/>
      <c r="H60" s="212"/>
      <c r="I60" s="212"/>
      <c r="J60" s="395"/>
      <c r="K60" s="53">
        <v>29.5</v>
      </c>
      <c r="L60" s="212"/>
      <c r="M60" s="212"/>
      <c r="N60" s="382">
        <v>0.85416666666666796</v>
      </c>
      <c r="P60" s="292">
        <f>DATE(Start!$D$2+4,11,1)</f>
        <v>47788</v>
      </c>
    </row>
    <row r="61" spans="1:16">
      <c r="A61" s="52"/>
      <c r="B61" s="118"/>
      <c r="C61" s="122"/>
      <c r="G61" s="131"/>
      <c r="H61" s="212"/>
      <c r="I61" s="212"/>
      <c r="J61" s="395"/>
      <c r="K61" s="53">
        <v>30</v>
      </c>
      <c r="L61" s="212"/>
      <c r="M61" s="212"/>
      <c r="N61" s="382">
        <v>0.86458333333333404</v>
      </c>
      <c r="P61" s="292">
        <f>DATE(Start!$D$2+4,12,1)</f>
        <v>47818</v>
      </c>
    </row>
    <row r="62" spans="1:16">
      <c r="A62" s="52"/>
      <c r="C62" s="122"/>
      <c r="F62" s="118"/>
      <c r="G62" s="131"/>
      <c r="H62" s="212"/>
      <c r="I62" s="212"/>
      <c r="J62" s="395"/>
      <c r="K62" s="53">
        <v>30.5</v>
      </c>
      <c r="L62" s="212"/>
      <c r="M62" s="212"/>
      <c r="N62" s="382">
        <v>0.875000000000001</v>
      </c>
    </row>
    <row r="63" spans="1:16">
      <c r="A63" s="52"/>
      <c r="B63" s="118"/>
      <c r="C63" s="122"/>
      <c r="G63" s="131"/>
      <c r="H63" s="212"/>
      <c r="I63" s="212"/>
      <c r="J63" s="395"/>
      <c r="K63" s="53">
        <v>31</v>
      </c>
      <c r="L63" s="212"/>
      <c r="M63" s="212"/>
      <c r="N63" s="382">
        <v>0.88541666666666796</v>
      </c>
    </row>
    <row r="64" spans="1:16">
      <c r="A64" s="52"/>
      <c r="C64" s="122"/>
      <c r="G64" s="131"/>
      <c r="H64" s="212"/>
      <c r="I64" s="212"/>
      <c r="J64" s="395"/>
      <c r="K64" s="53">
        <v>31.5</v>
      </c>
      <c r="L64" s="212"/>
      <c r="M64" s="212"/>
      <c r="N64" s="382">
        <v>0.89583333333333404</v>
      </c>
    </row>
    <row r="65" spans="1:15">
      <c r="A65" s="52"/>
      <c r="C65" s="122"/>
      <c r="F65" s="118"/>
      <c r="G65" s="131"/>
      <c r="H65" s="212"/>
      <c r="I65" s="212"/>
      <c r="J65" s="395"/>
      <c r="K65" s="53">
        <v>32</v>
      </c>
      <c r="L65" s="212"/>
      <c r="M65" s="212"/>
      <c r="N65" s="382">
        <v>0.906250000000001</v>
      </c>
    </row>
    <row r="66" spans="1:15">
      <c r="A66" s="52"/>
      <c r="B66" s="118"/>
      <c r="C66" s="122"/>
      <c r="G66" s="131"/>
      <c r="H66" s="212"/>
      <c r="I66" s="212"/>
      <c r="J66" s="395"/>
      <c r="K66" s="53">
        <v>32.5</v>
      </c>
      <c r="L66" s="212"/>
      <c r="M66" s="212"/>
      <c r="N66" s="382">
        <v>0.91666666666666796</v>
      </c>
    </row>
    <row r="67" spans="1:15">
      <c r="A67" s="52"/>
      <c r="C67" s="122"/>
      <c r="F67" s="118"/>
      <c r="G67" s="131"/>
      <c r="H67" s="212"/>
      <c r="I67" s="212"/>
      <c r="J67" s="395"/>
      <c r="K67" s="53">
        <v>33</v>
      </c>
      <c r="L67" s="212"/>
      <c r="M67" s="212"/>
      <c r="N67" s="53"/>
    </row>
    <row r="68" spans="1:15">
      <c r="A68" s="52"/>
      <c r="B68" s="118"/>
      <c r="C68" s="122"/>
      <c r="G68" s="131"/>
      <c r="H68" s="212"/>
      <c r="I68" s="212"/>
      <c r="J68" s="395"/>
      <c r="K68" s="53">
        <v>33.5</v>
      </c>
      <c r="L68" s="212"/>
      <c r="M68" s="212"/>
      <c r="N68" s="53"/>
    </row>
    <row r="69" spans="1:15">
      <c r="A69" s="52"/>
      <c r="C69" s="369"/>
      <c r="F69" s="118"/>
      <c r="G69" s="212"/>
      <c r="H69" s="212"/>
      <c r="I69" s="212"/>
      <c r="J69" s="395"/>
      <c r="K69" s="53">
        <v>34</v>
      </c>
      <c r="L69" s="212"/>
      <c r="M69" s="212"/>
      <c r="N69" s="53"/>
    </row>
    <row r="70" spans="1:15">
      <c r="A70" s="52"/>
      <c r="C70" s="369"/>
      <c r="G70" s="212"/>
      <c r="H70" s="212"/>
      <c r="I70" s="212"/>
      <c r="J70" s="395"/>
      <c r="K70" s="53">
        <v>34.5</v>
      </c>
      <c r="L70" s="212"/>
      <c r="M70" s="212"/>
      <c r="N70" s="53"/>
    </row>
    <row r="71" spans="1:15">
      <c r="A71" s="52"/>
      <c r="C71" s="369"/>
      <c r="F71" s="118"/>
      <c r="G71" s="212"/>
      <c r="H71" s="212"/>
      <c r="I71" s="212"/>
      <c r="J71" s="395"/>
      <c r="K71" s="53">
        <v>35</v>
      </c>
      <c r="L71" s="212"/>
      <c r="M71" s="212"/>
      <c r="N71" s="53"/>
    </row>
    <row r="72" spans="1:15">
      <c r="A72" s="52"/>
      <c r="C72" s="122"/>
      <c r="G72" s="212"/>
      <c r="H72" s="212"/>
      <c r="I72" s="212"/>
      <c r="J72" s="395"/>
      <c r="K72" s="53">
        <v>35.5</v>
      </c>
      <c r="L72" s="212"/>
      <c r="M72" s="212"/>
      <c r="N72" s="53"/>
    </row>
    <row r="73" spans="1:15">
      <c r="A73" s="52"/>
      <c r="C73" s="122"/>
      <c r="F73" s="118"/>
      <c r="G73" s="212"/>
      <c r="H73" s="212"/>
      <c r="I73" s="212"/>
      <c r="J73" s="395"/>
      <c r="K73" s="53">
        <v>36</v>
      </c>
      <c r="L73" s="212"/>
      <c r="M73" s="212"/>
      <c r="N73" s="53"/>
    </row>
    <row r="74" spans="1:15">
      <c r="A74" s="52"/>
      <c r="C74" s="122"/>
      <c r="F74" s="118"/>
      <c r="G74" s="212"/>
      <c r="H74" s="212"/>
      <c r="I74" s="212"/>
      <c r="J74" s="395"/>
      <c r="K74" s="53">
        <v>36.5</v>
      </c>
      <c r="L74" s="212"/>
      <c r="M74" s="212"/>
      <c r="N74" s="53"/>
    </row>
    <row r="75" spans="1:15">
      <c r="A75" s="52"/>
      <c r="C75" s="122"/>
      <c r="F75" s="118"/>
      <c r="G75" s="212"/>
      <c r="H75" s="212"/>
      <c r="I75" s="212"/>
      <c r="J75" s="395"/>
      <c r="K75" s="53">
        <v>37</v>
      </c>
      <c r="L75" s="212"/>
      <c r="M75" s="212"/>
      <c r="N75" s="53"/>
    </row>
    <row r="76" spans="1:15">
      <c r="A76" s="52"/>
      <c r="C76" s="369"/>
      <c r="F76" s="118"/>
      <c r="G76" s="212"/>
      <c r="H76" s="212"/>
      <c r="I76" s="212"/>
      <c r="J76" s="395"/>
      <c r="K76" s="53">
        <v>37.5</v>
      </c>
      <c r="L76" s="212"/>
      <c r="M76" s="212"/>
      <c r="N76" s="53"/>
    </row>
    <row r="77" spans="1:15">
      <c r="C77" s="122"/>
      <c r="F77" s="118"/>
      <c r="G77" s="212"/>
      <c r="H77" s="212"/>
      <c r="I77" s="212"/>
      <c r="J77" s="395"/>
      <c r="K77" s="53">
        <v>38</v>
      </c>
      <c r="L77" s="212"/>
      <c r="M77" s="212"/>
      <c r="N77" s="53"/>
    </row>
    <row r="78" spans="1:15">
      <c r="C78" s="122"/>
      <c r="F78" s="118"/>
      <c r="G78" s="212"/>
      <c r="H78" s="212"/>
      <c r="I78" s="212"/>
      <c r="J78" s="395"/>
      <c r="K78" s="53">
        <v>38.5</v>
      </c>
      <c r="L78" s="212"/>
      <c r="M78" s="212"/>
      <c r="N78" s="53"/>
    </row>
    <row r="79" spans="1:15" s="51" customFormat="1" thickBot="1">
      <c r="A79" s="385"/>
      <c r="B79" s="386"/>
      <c r="C79" s="387"/>
      <c r="D79" s="386"/>
      <c r="E79" s="386"/>
      <c r="F79" s="386"/>
      <c r="G79" s="386"/>
      <c r="H79" s="386"/>
      <c r="I79" s="386"/>
      <c r="J79" s="396"/>
      <c r="K79" s="53">
        <v>39</v>
      </c>
      <c r="L79" s="52"/>
      <c r="M79" s="52"/>
      <c r="N79" s="53"/>
      <c r="O79" s="53"/>
    </row>
    <row r="80" spans="1:15" ht="16" thickTop="1">
      <c r="A80" s="123" t="s">
        <v>28</v>
      </c>
      <c r="C80" s="119"/>
      <c r="E80" s="123" t="s">
        <v>390</v>
      </c>
      <c r="J80" s="394"/>
      <c r="K80" s="53">
        <v>39.5</v>
      </c>
      <c r="L80" s="52"/>
      <c r="M80" s="52"/>
      <c r="N80" s="53"/>
    </row>
    <row r="81" spans="1:14">
      <c r="J81" s="394"/>
      <c r="K81" s="53">
        <v>40</v>
      </c>
      <c r="L81" s="52"/>
      <c r="M81" s="52"/>
      <c r="N81" s="53"/>
    </row>
    <row r="82" spans="1:14">
      <c r="A82" s="120" t="s">
        <v>25</v>
      </c>
      <c r="B82" s="124">
        <f>Start!$D$2</f>
        <v>2026</v>
      </c>
      <c r="C82" s="52">
        <f>Start!$D$2+1</f>
        <v>2027</v>
      </c>
      <c r="E82" s="120" t="s">
        <v>25</v>
      </c>
      <c r="F82" s="124">
        <f>Start!$D$2</f>
        <v>2026</v>
      </c>
      <c r="J82" s="394"/>
      <c r="K82" s="53">
        <v>40.5</v>
      </c>
      <c r="L82" s="52"/>
      <c r="M82" s="52"/>
      <c r="N82" s="53"/>
    </row>
    <row r="83" spans="1:14">
      <c r="A83" s="120"/>
      <c r="B83" s="125"/>
      <c r="J83" s="394"/>
      <c r="K83" s="53">
        <v>41</v>
      </c>
      <c r="L83" s="52"/>
      <c r="M83" s="52"/>
      <c r="N83" s="53"/>
    </row>
    <row r="84" spans="1:14">
      <c r="A84" s="126" t="s">
        <v>29</v>
      </c>
      <c r="B84" s="127">
        <f>DATE(B82,1,1)</f>
        <v>46023</v>
      </c>
      <c r="C84" s="127">
        <f>DATE(C82,1,1)</f>
        <v>46388</v>
      </c>
      <c r="E84" s="51" t="s">
        <v>391</v>
      </c>
      <c r="F84" s="292">
        <f>$B$86-2</f>
        <v>46115</v>
      </c>
      <c r="J84" s="394"/>
      <c r="K84" s="53">
        <v>41.5</v>
      </c>
      <c r="L84" s="52"/>
      <c r="M84" s="52"/>
      <c r="N84" s="53"/>
    </row>
    <row r="85" spans="1:14">
      <c r="A85" s="126" t="s">
        <v>30</v>
      </c>
      <c r="B85" s="127">
        <f>DATE(B82,1,6)</f>
        <v>46028</v>
      </c>
      <c r="C85" s="127">
        <f>DATE(C82,1,6)</f>
        <v>46393</v>
      </c>
      <c r="E85" s="51" t="s">
        <v>396</v>
      </c>
      <c r="F85" s="127">
        <f>DATE(F82,12,24)</f>
        <v>46380</v>
      </c>
      <c r="J85" s="394"/>
      <c r="K85" s="53">
        <v>42</v>
      </c>
      <c r="L85" s="52"/>
      <c r="M85" s="52"/>
      <c r="N85" s="53"/>
    </row>
    <row r="86" spans="1:14">
      <c r="A86" s="126" t="s">
        <v>31</v>
      </c>
      <c r="B86" s="127">
        <f>DOLLAR((DAY(MINUTE(B82/38)/2+55)&amp;".4."&amp;B82)/7,)*7-IF(YEAR(1)=1904,5,6)</f>
        <v>46117</v>
      </c>
      <c r="C86" s="127">
        <f>DOLLAR((DAY(MINUTE(C82/38)/2+55)&amp;".4."&amp;C82)/7,)*7-IF(YEAR(1)=1904,5,6)</f>
        <v>46474</v>
      </c>
      <c r="E86" s="51" t="s">
        <v>397</v>
      </c>
      <c r="F86" s="127">
        <f>DATE(F82,12,31)</f>
        <v>46387</v>
      </c>
      <c r="J86" s="394"/>
      <c r="K86" s="53">
        <v>42.5</v>
      </c>
      <c r="L86" s="52"/>
      <c r="M86" s="52"/>
      <c r="N86" s="53"/>
    </row>
    <row r="87" spans="1:14">
      <c r="A87" s="126" t="s">
        <v>32</v>
      </c>
      <c r="B87" s="127">
        <f>B86+1</f>
        <v>46118</v>
      </c>
      <c r="C87" s="127">
        <f>C86+1</f>
        <v>46475</v>
      </c>
      <c r="J87" s="394"/>
      <c r="K87" s="53">
        <v>43</v>
      </c>
      <c r="L87" s="52"/>
      <c r="M87" s="52"/>
      <c r="N87" s="53"/>
    </row>
    <row r="88" spans="1:14">
      <c r="A88" s="126" t="s">
        <v>33</v>
      </c>
      <c r="B88" s="127">
        <f>DATE(B82,5,1)</f>
        <v>46143</v>
      </c>
      <c r="C88" s="127">
        <f>DATE(C82,5,1)</f>
        <v>46508</v>
      </c>
      <c r="J88" s="394"/>
      <c r="K88" s="53">
        <v>43.5</v>
      </c>
      <c r="L88" s="52"/>
      <c r="M88" s="52"/>
      <c r="N88" s="53"/>
    </row>
    <row r="89" spans="1:14">
      <c r="A89" s="126" t="s">
        <v>34</v>
      </c>
      <c r="B89" s="127">
        <f>B86+39</f>
        <v>46156</v>
      </c>
      <c r="C89" s="127">
        <f>C86+39</f>
        <v>46513</v>
      </c>
      <c r="J89" s="394"/>
      <c r="K89" s="53">
        <v>44</v>
      </c>
      <c r="L89" s="52"/>
      <c r="M89" s="52"/>
      <c r="N89" s="53"/>
    </row>
    <row r="90" spans="1:14">
      <c r="A90" s="126" t="s">
        <v>35</v>
      </c>
      <c r="B90" s="127">
        <f>B86+50</f>
        <v>46167</v>
      </c>
      <c r="C90" s="127">
        <f>C86+50</f>
        <v>46524</v>
      </c>
      <c r="H90" s="52"/>
      <c r="J90" s="394"/>
      <c r="K90" s="53">
        <v>44.5</v>
      </c>
      <c r="L90" s="52"/>
      <c r="M90" s="52"/>
      <c r="N90" s="53"/>
    </row>
    <row r="91" spans="1:14">
      <c r="A91" s="126" t="s">
        <v>36</v>
      </c>
      <c r="B91" s="127">
        <f>B86+60</f>
        <v>46177</v>
      </c>
      <c r="C91" s="127">
        <f>C86+60</f>
        <v>46534</v>
      </c>
      <c r="G91" s="52"/>
      <c r="H91" s="52"/>
      <c r="I91" s="52"/>
      <c r="J91" s="394"/>
      <c r="K91" s="53">
        <v>45</v>
      </c>
      <c r="L91" s="52"/>
      <c r="M91" s="52"/>
      <c r="N91" s="53"/>
    </row>
    <row r="92" spans="1:14">
      <c r="A92" s="126" t="s">
        <v>37</v>
      </c>
      <c r="B92" s="127">
        <f>DATE(B82,8,15)</f>
        <v>46249</v>
      </c>
      <c r="C92" s="127">
        <f>DATE(C82,8,15)</f>
        <v>46614</v>
      </c>
      <c r="G92" s="52"/>
      <c r="H92" s="52"/>
      <c r="I92" s="52"/>
      <c r="J92" s="394"/>
      <c r="K92" s="53">
        <v>45.5</v>
      </c>
      <c r="L92" s="52"/>
      <c r="M92" s="52"/>
      <c r="N92" s="53"/>
    </row>
    <row r="93" spans="1:14">
      <c r="A93" s="126" t="s">
        <v>38</v>
      </c>
      <c r="B93" s="127">
        <f>DATE(B82,10,26)</f>
        <v>46321</v>
      </c>
      <c r="C93" s="127">
        <f>DATE(C82,10,26)</f>
        <v>46686</v>
      </c>
      <c r="G93" s="52"/>
      <c r="H93" s="52"/>
      <c r="I93" s="52"/>
      <c r="J93" s="394"/>
      <c r="K93" s="53">
        <v>46</v>
      </c>
      <c r="L93" s="52"/>
      <c r="M93" s="52"/>
      <c r="N93" s="53"/>
    </row>
    <row r="94" spans="1:14">
      <c r="A94" s="126" t="s">
        <v>39</v>
      </c>
      <c r="B94" s="127">
        <f>DATE(B82,11,1)</f>
        <v>46327</v>
      </c>
      <c r="C94" s="127">
        <f>DATE(C82,11,1)</f>
        <v>46692</v>
      </c>
      <c r="G94" s="52"/>
      <c r="H94" s="52"/>
      <c r="I94" s="52"/>
      <c r="J94" s="394"/>
      <c r="K94" s="53">
        <v>46.5</v>
      </c>
      <c r="L94" s="52"/>
      <c r="M94" s="52"/>
      <c r="N94" s="53"/>
    </row>
    <row r="95" spans="1:14">
      <c r="A95" s="126" t="s">
        <v>42</v>
      </c>
      <c r="B95" s="127">
        <f>DATE(B82,12,8)</f>
        <v>46364</v>
      </c>
      <c r="C95" s="127">
        <f>DATE(C82,12,8)</f>
        <v>46729</v>
      </c>
      <c r="G95" s="52"/>
      <c r="H95" s="52"/>
      <c r="I95" s="52"/>
      <c r="J95" s="394"/>
      <c r="K95" s="53">
        <v>47</v>
      </c>
      <c r="L95" s="52"/>
      <c r="M95" s="52"/>
      <c r="N95" s="53"/>
    </row>
    <row r="96" spans="1:14">
      <c r="A96" s="126" t="s">
        <v>40</v>
      </c>
      <c r="B96" s="127">
        <f>DATE(B82,12,25)</f>
        <v>46381</v>
      </c>
      <c r="C96" s="127">
        <f>DATE(C82,12,25)</f>
        <v>46746</v>
      </c>
      <c r="G96" s="52"/>
      <c r="H96" s="52"/>
      <c r="I96" s="52"/>
      <c r="J96" s="394"/>
      <c r="K96" s="53">
        <v>47.5</v>
      </c>
      <c r="L96" s="52"/>
      <c r="M96" s="52"/>
      <c r="N96" s="53"/>
    </row>
    <row r="97" spans="1:14">
      <c r="A97" s="126" t="s">
        <v>41</v>
      </c>
      <c r="B97" s="127">
        <f>DATE(B82,12,26)</f>
        <v>46382</v>
      </c>
      <c r="C97" s="127">
        <f>DATE(C82,12,26)</f>
        <v>46747</v>
      </c>
      <c r="G97" s="52"/>
      <c r="H97" s="52"/>
      <c r="I97" s="52"/>
      <c r="J97" s="394"/>
      <c r="K97" s="53">
        <v>48</v>
      </c>
      <c r="L97" s="52"/>
      <c r="M97" s="52"/>
      <c r="N97" s="53"/>
    </row>
    <row r="98" spans="1:14" ht="14.5" customHeight="1">
      <c r="J98" s="394"/>
      <c r="K98" s="53">
        <v>48.5</v>
      </c>
      <c r="L98" s="52"/>
      <c r="M98" s="52"/>
      <c r="N98" s="53"/>
    </row>
    <row r="99" spans="1:14">
      <c r="A99" s="128" t="s">
        <v>58</v>
      </c>
      <c r="B99" s="128" t="s">
        <v>44</v>
      </c>
      <c r="C99" s="128" t="s">
        <v>28</v>
      </c>
      <c r="D99" s="128" t="s">
        <v>73</v>
      </c>
      <c r="E99" s="128" t="s">
        <v>72</v>
      </c>
      <c r="F99" s="128" t="s">
        <v>74</v>
      </c>
      <c r="G99" s="128" t="s">
        <v>241</v>
      </c>
      <c r="H99" s="51" t="s">
        <v>59</v>
      </c>
      <c r="I99" s="53" t="s">
        <v>354</v>
      </c>
      <c r="J99" s="397" t="s">
        <v>128</v>
      </c>
      <c r="K99" s="53">
        <v>49</v>
      </c>
      <c r="L99" s="52"/>
      <c r="M99" s="52"/>
      <c r="N99" s="53"/>
    </row>
    <row r="100" spans="1:14">
      <c r="A100" s="129">
        <f>DATE($B$82,1,1)</f>
        <v>46023</v>
      </c>
      <c r="B100" s="130">
        <f>DAY(DATE(YEAR(A100),MONTH(A100)+1,0))</f>
        <v>31</v>
      </c>
      <c r="C100" s="130">
        <f t="shared" ref="C100:C111" si="0">SUMPRODUCT(($B$84:$B$97&gt;=A100)*($B$84:$B$97&lt;(A100+B100)))</f>
        <v>2</v>
      </c>
      <c r="D100" s="130">
        <f>B100-NETWORKDAYS(A100,A100+(B100-1))</f>
        <v>9</v>
      </c>
      <c r="E100" s="53">
        <f>NETWORKDAYS(A100,A100+(B100-1),$B$84:$B$97)</f>
        <v>20</v>
      </c>
      <c r="F100" s="131">
        <f>(E100-I100)*Gehalt!$E$38</f>
        <v>160</v>
      </c>
      <c r="G100" s="250">
        <f>B100-D100</f>
        <v>22</v>
      </c>
      <c r="H100" s="53" t="s">
        <v>89</v>
      </c>
      <c r="I100" s="52">
        <f>IF(Start!$E$12=5,0,COUNTIF(Jänner!$D$14:$D$44,"FT"))</f>
        <v>0</v>
      </c>
      <c r="J100" s="395">
        <f>(G100-I100)*0.2*48</f>
        <v>211.20000000000002</v>
      </c>
      <c r="K100" s="53">
        <v>49.5</v>
      </c>
      <c r="L100" s="52"/>
      <c r="M100" s="52"/>
      <c r="N100" s="53"/>
    </row>
    <row r="101" spans="1:14">
      <c r="A101" s="129">
        <f>DATE($B$82,2,1)</f>
        <v>46054</v>
      </c>
      <c r="B101" s="130">
        <f>DAY(DATE(YEAR(A101),MONTH(A101)+1,0))</f>
        <v>28</v>
      </c>
      <c r="C101" s="130">
        <f t="shared" si="0"/>
        <v>0</v>
      </c>
      <c r="D101" s="130">
        <f t="shared" ref="D101:D123" si="1">B101-NETWORKDAYS(A101,A101+(B101-1))</f>
        <v>8</v>
      </c>
      <c r="E101" s="53">
        <f t="shared" ref="E101:E111" si="2">NETWORKDAYS(A101,A101+(B101-1),$B$84:$B$97)</f>
        <v>20</v>
      </c>
      <c r="F101" s="131">
        <f>(E101-I101)*Gehalt!$E$38</f>
        <v>160</v>
      </c>
      <c r="G101" s="250">
        <f t="shared" ref="G101:G123" si="3">B101-D101</f>
        <v>20</v>
      </c>
      <c r="H101" s="53" t="s">
        <v>2</v>
      </c>
      <c r="I101" s="52">
        <f>IF(Start!$E$12=5,0,COUNTIF(Februar!$D$14:$D$41,"FT"))</f>
        <v>0</v>
      </c>
      <c r="J101" s="395">
        <f t="shared" ref="J101:J111" si="4">(G101-I101)*0.2*48</f>
        <v>192</v>
      </c>
      <c r="K101" s="53">
        <v>50</v>
      </c>
      <c r="L101" s="52"/>
      <c r="M101" s="52"/>
      <c r="N101" s="53"/>
    </row>
    <row r="102" spans="1:14">
      <c r="A102" s="129">
        <f>DATE($B$82,3,1)</f>
        <v>46082</v>
      </c>
      <c r="B102" s="130">
        <f t="shared" ref="B102:B123" si="5">DAY(DATE(YEAR(A102),MONTH(A102)+1,0))</f>
        <v>31</v>
      </c>
      <c r="C102" s="130">
        <f t="shared" si="0"/>
        <v>0</v>
      </c>
      <c r="D102" s="130">
        <f t="shared" si="1"/>
        <v>9</v>
      </c>
      <c r="E102" s="53">
        <f t="shared" si="2"/>
        <v>22</v>
      </c>
      <c r="F102" s="131">
        <f>(E102-I102)*Gehalt!$E$38</f>
        <v>176</v>
      </c>
      <c r="G102" s="250">
        <f t="shared" si="3"/>
        <v>22</v>
      </c>
      <c r="H102" s="53" t="s">
        <v>3</v>
      </c>
      <c r="I102" s="52">
        <f>IF(Start!$E$12=5,0,COUNTIF(März!$D$14:$D$44,"FT"))</f>
        <v>0</v>
      </c>
      <c r="J102" s="395">
        <f t="shared" si="4"/>
        <v>211.20000000000002</v>
      </c>
      <c r="K102" s="53">
        <v>50.5</v>
      </c>
      <c r="L102" s="52"/>
      <c r="M102" s="52"/>
      <c r="N102" s="53"/>
    </row>
    <row r="103" spans="1:14">
      <c r="A103" s="129">
        <f>DATE($B$82,4,1)</f>
        <v>46113</v>
      </c>
      <c r="B103" s="130">
        <f t="shared" si="5"/>
        <v>30</v>
      </c>
      <c r="C103" s="130">
        <f t="shared" si="0"/>
        <v>2</v>
      </c>
      <c r="D103" s="130">
        <f t="shared" si="1"/>
        <v>8</v>
      </c>
      <c r="E103" s="53">
        <f t="shared" si="2"/>
        <v>21</v>
      </c>
      <c r="F103" s="131">
        <f>(E103-I103)*Gehalt!$E$38</f>
        <v>168</v>
      </c>
      <c r="G103" s="250">
        <f t="shared" si="3"/>
        <v>22</v>
      </c>
      <c r="H103" s="53" t="s">
        <v>4</v>
      </c>
      <c r="I103" s="52">
        <f>IF(Start!$E$12=5,0,COUNTIF(April!$D$14:$D$43,"FT"))</f>
        <v>0</v>
      </c>
      <c r="J103" s="395">
        <f t="shared" si="4"/>
        <v>211.20000000000002</v>
      </c>
      <c r="K103" s="53">
        <v>51</v>
      </c>
      <c r="L103" s="52"/>
      <c r="M103" s="52"/>
      <c r="N103" s="53"/>
    </row>
    <row r="104" spans="1:14">
      <c r="A104" s="129">
        <f>DATE($B$82,5,1)</f>
        <v>46143</v>
      </c>
      <c r="B104" s="130">
        <f t="shared" si="5"/>
        <v>31</v>
      </c>
      <c r="C104" s="130">
        <f t="shared" si="0"/>
        <v>3</v>
      </c>
      <c r="D104" s="130">
        <f t="shared" si="1"/>
        <v>10</v>
      </c>
      <c r="E104" s="53">
        <f t="shared" si="2"/>
        <v>18</v>
      </c>
      <c r="F104" s="131">
        <f>(E104-I104)*Gehalt!$E$38</f>
        <v>144</v>
      </c>
      <c r="G104" s="250">
        <f t="shared" si="3"/>
        <v>21</v>
      </c>
      <c r="H104" s="53" t="s">
        <v>5</v>
      </c>
      <c r="I104" s="52">
        <f>IF(Start!$E$12=5,0,COUNTIF(Mai!$D$14:$D$44,"FT"))</f>
        <v>0</v>
      </c>
      <c r="J104" s="395">
        <f t="shared" si="4"/>
        <v>201.60000000000002</v>
      </c>
      <c r="K104" s="53">
        <v>51.5</v>
      </c>
      <c r="L104" s="52"/>
      <c r="M104" s="52"/>
      <c r="N104" s="53"/>
    </row>
    <row r="105" spans="1:14">
      <c r="A105" s="129">
        <f>DATE($B$82,6,1)</f>
        <v>46174</v>
      </c>
      <c r="B105" s="130">
        <f t="shared" si="5"/>
        <v>30</v>
      </c>
      <c r="C105" s="130">
        <f t="shared" si="0"/>
        <v>1</v>
      </c>
      <c r="D105" s="130">
        <f t="shared" si="1"/>
        <v>8</v>
      </c>
      <c r="E105" s="53">
        <f t="shared" si="2"/>
        <v>21</v>
      </c>
      <c r="F105" s="131">
        <f>(E105-I105)*Gehalt!$E$38</f>
        <v>168</v>
      </c>
      <c r="G105" s="250">
        <f t="shared" si="3"/>
        <v>22</v>
      </c>
      <c r="H105" s="53" t="s">
        <v>6</v>
      </c>
      <c r="I105" s="52">
        <f>IF(Start!$E$12=5,0,COUNTIF(Juni!$D$14:$D$43,"FT"))</f>
        <v>0</v>
      </c>
      <c r="J105" s="395">
        <f t="shared" si="4"/>
        <v>211.20000000000002</v>
      </c>
      <c r="K105" s="53">
        <v>52</v>
      </c>
      <c r="L105" s="52"/>
      <c r="M105" s="52"/>
      <c r="N105" s="53"/>
    </row>
    <row r="106" spans="1:14">
      <c r="A106" s="129">
        <f>DATE($B$82,7,1)</f>
        <v>46204</v>
      </c>
      <c r="B106" s="130">
        <f t="shared" si="5"/>
        <v>31</v>
      </c>
      <c r="C106" s="130">
        <f t="shared" si="0"/>
        <v>0</v>
      </c>
      <c r="D106" s="130">
        <f t="shared" si="1"/>
        <v>8</v>
      </c>
      <c r="E106" s="53">
        <f t="shared" si="2"/>
        <v>23</v>
      </c>
      <c r="F106" s="131">
        <f>(E106-I106)*Gehalt!$E$38</f>
        <v>184</v>
      </c>
      <c r="G106" s="250">
        <f t="shared" si="3"/>
        <v>23</v>
      </c>
      <c r="H106" s="53" t="s">
        <v>7</v>
      </c>
      <c r="I106" s="52">
        <f>IF(Start!$E$12=5,0,COUNTIF(Juli!$D$14:$D$44,"FT"))</f>
        <v>0</v>
      </c>
      <c r="J106" s="395">
        <f t="shared" si="4"/>
        <v>220.8</v>
      </c>
      <c r="K106" s="53">
        <v>52.5</v>
      </c>
      <c r="L106" s="52"/>
      <c r="M106" s="52"/>
      <c r="N106" s="53"/>
    </row>
    <row r="107" spans="1:14">
      <c r="A107" s="129">
        <f>DATE($B$82,8,1)</f>
        <v>46235</v>
      </c>
      <c r="B107" s="130">
        <f t="shared" si="5"/>
        <v>31</v>
      </c>
      <c r="C107" s="130">
        <f t="shared" si="0"/>
        <v>1</v>
      </c>
      <c r="D107" s="130">
        <f t="shared" si="1"/>
        <v>10</v>
      </c>
      <c r="E107" s="53">
        <f t="shared" si="2"/>
        <v>21</v>
      </c>
      <c r="F107" s="131">
        <f>(E107-I107)*Gehalt!$E$38</f>
        <v>168</v>
      </c>
      <c r="G107" s="250">
        <f t="shared" si="3"/>
        <v>21</v>
      </c>
      <c r="H107" s="53" t="s">
        <v>8</v>
      </c>
      <c r="I107" s="52">
        <f>IF(Start!$E$12=5,0,COUNTIF(August!$D$14:$D$44,"FT"))</f>
        <v>0</v>
      </c>
      <c r="J107" s="395">
        <f t="shared" si="4"/>
        <v>201.60000000000002</v>
      </c>
      <c r="K107" s="53">
        <v>53</v>
      </c>
      <c r="L107" s="52"/>
      <c r="M107" s="52"/>
      <c r="N107" s="53"/>
    </row>
    <row r="108" spans="1:14">
      <c r="A108" s="129">
        <f>DATE($B$82,9,1)</f>
        <v>46266</v>
      </c>
      <c r="B108" s="130">
        <f t="shared" si="5"/>
        <v>30</v>
      </c>
      <c r="C108" s="130">
        <f t="shared" si="0"/>
        <v>0</v>
      </c>
      <c r="D108" s="130">
        <f t="shared" si="1"/>
        <v>8</v>
      </c>
      <c r="E108" s="53">
        <f t="shared" si="2"/>
        <v>22</v>
      </c>
      <c r="F108" s="131">
        <f>(E108-I108)*Gehalt!$E$38</f>
        <v>176</v>
      </c>
      <c r="G108" s="250">
        <f t="shared" si="3"/>
        <v>22</v>
      </c>
      <c r="H108" s="53" t="s">
        <v>9</v>
      </c>
      <c r="I108" s="52">
        <f>IF(Start!$E$12=5,0,COUNTIF(September!$D$14:$D$43,"FT"))</f>
        <v>0</v>
      </c>
      <c r="J108" s="395">
        <f t="shared" si="4"/>
        <v>211.20000000000002</v>
      </c>
      <c r="K108" s="53">
        <v>53.5</v>
      </c>
      <c r="L108" s="52"/>
      <c r="M108" s="52"/>
      <c r="N108" s="53"/>
    </row>
    <row r="109" spans="1:14">
      <c r="A109" s="129">
        <f>DATE($B$82,10,1)</f>
        <v>46296</v>
      </c>
      <c r="B109" s="130">
        <f t="shared" si="5"/>
        <v>31</v>
      </c>
      <c r="C109" s="130">
        <f t="shared" si="0"/>
        <v>1</v>
      </c>
      <c r="D109" s="130">
        <f t="shared" si="1"/>
        <v>9</v>
      </c>
      <c r="E109" s="53">
        <f t="shared" si="2"/>
        <v>21</v>
      </c>
      <c r="F109" s="131">
        <f>(E109-I109)*Gehalt!$E$38</f>
        <v>168</v>
      </c>
      <c r="G109" s="250">
        <f t="shared" si="3"/>
        <v>22</v>
      </c>
      <c r="H109" s="53" t="s">
        <v>10</v>
      </c>
      <c r="I109" s="52">
        <f>IF(Start!$E$12=5,0,COUNTIF(Oktober!$D$14:$D$44,"FT"))</f>
        <v>0</v>
      </c>
      <c r="J109" s="395">
        <f t="shared" si="4"/>
        <v>211.20000000000002</v>
      </c>
      <c r="K109" s="53">
        <v>54</v>
      </c>
      <c r="L109" s="52"/>
      <c r="M109" s="52"/>
      <c r="N109" s="53"/>
    </row>
    <row r="110" spans="1:14">
      <c r="A110" s="129">
        <f>DATE($B$82,11,1)</f>
        <v>46327</v>
      </c>
      <c r="B110" s="130">
        <f t="shared" si="5"/>
        <v>30</v>
      </c>
      <c r="C110" s="130">
        <f t="shared" si="0"/>
        <v>1</v>
      </c>
      <c r="D110" s="130">
        <f t="shared" si="1"/>
        <v>9</v>
      </c>
      <c r="E110" s="53">
        <f t="shared" si="2"/>
        <v>21</v>
      </c>
      <c r="F110" s="131">
        <f>(E110-I110)*Gehalt!$E$38</f>
        <v>168</v>
      </c>
      <c r="G110" s="250">
        <f t="shared" si="3"/>
        <v>21</v>
      </c>
      <c r="H110" s="53" t="s">
        <v>11</v>
      </c>
      <c r="I110" s="52">
        <f>IF(Start!$E$12=5,0,COUNTIF(November!$D$14:$D$43,"FT"))</f>
        <v>0</v>
      </c>
      <c r="J110" s="395">
        <f t="shared" si="4"/>
        <v>201.60000000000002</v>
      </c>
      <c r="K110" s="53">
        <v>54.5</v>
      </c>
      <c r="L110" s="52"/>
      <c r="M110" s="52"/>
      <c r="N110" s="53"/>
    </row>
    <row r="111" spans="1:14">
      <c r="A111" s="129">
        <f>DATE($B$82,12,1)</f>
        <v>46357</v>
      </c>
      <c r="B111" s="130">
        <f t="shared" si="5"/>
        <v>31</v>
      </c>
      <c r="C111" s="130">
        <f t="shared" si="0"/>
        <v>3</v>
      </c>
      <c r="D111" s="130">
        <f t="shared" si="1"/>
        <v>8</v>
      </c>
      <c r="E111" s="53">
        <f t="shared" si="2"/>
        <v>21</v>
      </c>
      <c r="F111" s="131">
        <f>(E111-I111)*Gehalt!$E$38</f>
        <v>168</v>
      </c>
      <c r="G111" s="250">
        <f t="shared" si="3"/>
        <v>23</v>
      </c>
      <c r="H111" s="53" t="s">
        <v>12</v>
      </c>
      <c r="I111" s="52">
        <f>IF(Start!$E$12=5,0,COUNTIF(Dezember!$D$14:$D$44,"FT"))</f>
        <v>0</v>
      </c>
      <c r="J111" s="395">
        <f t="shared" si="4"/>
        <v>220.8</v>
      </c>
      <c r="K111" s="53">
        <v>55</v>
      </c>
      <c r="L111" s="52"/>
      <c r="M111" s="52"/>
      <c r="N111" s="53"/>
    </row>
    <row r="112" spans="1:14">
      <c r="A112" s="259">
        <f>DATE($C$82,1,1)</f>
        <v>46388</v>
      </c>
      <c r="B112" s="130">
        <f t="shared" si="5"/>
        <v>31</v>
      </c>
      <c r="C112" s="130">
        <f>SUMPRODUCT(($C$84:$C$97&gt;=A112)*($C$84:$C$97&lt;(A112+B112)))</f>
        <v>2</v>
      </c>
      <c r="D112" s="130">
        <f t="shared" si="1"/>
        <v>10</v>
      </c>
      <c r="E112" s="53">
        <f>NETWORKDAYS(A112,A112+(B112-1),$C$84:$C$97)</f>
        <v>19</v>
      </c>
      <c r="F112" s="131">
        <f>(E112-I112)*Gehalt!$E$38</f>
        <v>152</v>
      </c>
      <c r="G112" s="250">
        <f t="shared" si="3"/>
        <v>21</v>
      </c>
      <c r="H112" s="258" t="s">
        <v>245</v>
      </c>
      <c r="I112" s="52">
        <f>IF(Start!$E$12=5,0,COUNTIF(Jänner.!$D$14:$D$44,"FT"))</f>
        <v>0</v>
      </c>
      <c r="J112" s="395">
        <f>(G112-I112)*0.2*48</f>
        <v>201.60000000000002</v>
      </c>
      <c r="K112" s="53">
        <v>55.5</v>
      </c>
      <c r="L112" s="52"/>
      <c r="M112" s="52"/>
      <c r="N112" s="53"/>
    </row>
    <row r="113" spans="1:14">
      <c r="A113" s="259">
        <f>DATE($C$82,2,1)</f>
        <v>46419</v>
      </c>
      <c r="B113" s="130">
        <f t="shared" si="5"/>
        <v>28</v>
      </c>
      <c r="C113" s="130">
        <f>SUMPRODUCT(($C$84:$C$97&gt;=A113)*($C$84:$C$97&lt;(A113+B113)))</f>
        <v>0</v>
      </c>
      <c r="D113" s="130">
        <f t="shared" si="1"/>
        <v>8</v>
      </c>
      <c r="E113" s="53">
        <f>NETWORKDAYS(A113,A113+(B113-1),$C$84:$C$97)</f>
        <v>20</v>
      </c>
      <c r="F113" s="131">
        <f>(E113-I113)*Gehalt!$E$38</f>
        <v>160</v>
      </c>
      <c r="G113" s="250">
        <f t="shared" si="3"/>
        <v>20</v>
      </c>
      <c r="H113" s="258" t="s">
        <v>436</v>
      </c>
      <c r="I113" s="52">
        <f>IF(Start!$E$12=5,0,COUNTIF(Jänner.!$D$14:$D$44,"FT"))</f>
        <v>0</v>
      </c>
      <c r="J113" s="395">
        <f>(G113-I113)*0.2*48</f>
        <v>192</v>
      </c>
      <c r="K113" s="53">
        <v>56</v>
      </c>
      <c r="L113" s="52"/>
      <c r="M113" s="52"/>
      <c r="N113" s="53"/>
    </row>
    <row r="114" spans="1:14">
      <c r="A114" s="259">
        <f>DATE($C$82,3,1)</f>
        <v>46447</v>
      </c>
      <c r="B114" s="130">
        <f t="shared" si="5"/>
        <v>31</v>
      </c>
      <c r="C114" s="130">
        <f t="shared" ref="C114:C123" si="6">SUMPRODUCT(($C$84:$C$97&gt;=A114)*($C$84:$C$97&lt;(A114+B114)))</f>
        <v>2</v>
      </c>
      <c r="D114" s="130">
        <f t="shared" si="1"/>
        <v>8</v>
      </c>
      <c r="E114" s="53">
        <f t="shared" ref="E114:E123" si="7">NETWORKDAYS(A114,A114+(B114-1),$C$84:$C$97)</f>
        <v>22</v>
      </c>
      <c r="F114" s="131">
        <f>(E114-I114)*Gehalt!$E$38</f>
        <v>176</v>
      </c>
      <c r="G114" s="250">
        <f t="shared" si="3"/>
        <v>23</v>
      </c>
      <c r="H114" s="258" t="s">
        <v>437</v>
      </c>
      <c r="I114" s="52">
        <f>IF(Start!$E$12=5,0,COUNTIF(Jänner.!$D$14:$D$44,"FT"))</f>
        <v>0</v>
      </c>
      <c r="J114" s="395">
        <f t="shared" ref="J114:J123" si="8">(G114-I114)*0.2*48</f>
        <v>220.8</v>
      </c>
      <c r="K114" s="53">
        <v>56.5</v>
      </c>
      <c r="L114" s="52"/>
      <c r="M114" s="52"/>
      <c r="N114" s="53"/>
    </row>
    <row r="115" spans="1:14">
      <c r="A115" s="259">
        <f>DATE($C$82,4,1)</f>
        <v>46478</v>
      </c>
      <c r="B115" s="130">
        <f t="shared" si="5"/>
        <v>30</v>
      </c>
      <c r="C115" s="130">
        <f t="shared" si="6"/>
        <v>0</v>
      </c>
      <c r="D115" s="130">
        <f t="shared" si="1"/>
        <v>8</v>
      </c>
      <c r="E115" s="53">
        <f t="shared" si="7"/>
        <v>22</v>
      </c>
      <c r="F115" s="131">
        <f>(E115-I115)*Gehalt!$E$38</f>
        <v>176</v>
      </c>
      <c r="G115" s="250">
        <f t="shared" si="3"/>
        <v>22</v>
      </c>
      <c r="H115" s="258" t="s">
        <v>438</v>
      </c>
      <c r="I115" s="52">
        <f>IF(Start!$E$12=5,0,COUNTIF(Jänner.!$D$14:$D$44,"FT"))</f>
        <v>0</v>
      </c>
      <c r="J115" s="395">
        <f t="shared" si="8"/>
        <v>211.20000000000002</v>
      </c>
      <c r="K115" s="53">
        <v>57</v>
      </c>
      <c r="L115" s="52"/>
      <c r="M115" s="52"/>
      <c r="N115" s="53"/>
    </row>
    <row r="116" spans="1:14">
      <c r="A116" s="259">
        <f>DATE($C$82,5,1)</f>
        <v>46508</v>
      </c>
      <c r="B116" s="130">
        <f t="shared" si="5"/>
        <v>31</v>
      </c>
      <c r="C116" s="130">
        <f t="shared" si="6"/>
        <v>4</v>
      </c>
      <c r="D116" s="130">
        <f t="shared" si="1"/>
        <v>10</v>
      </c>
      <c r="E116" s="53">
        <f t="shared" si="7"/>
        <v>18</v>
      </c>
      <c r="F116" s="131">
        <f>(E116-I116)*Gehalt!$E$38</f>
        <v>144</v>
      </c>
      <c r="G116" s="250">
        <f t="shared" si="3"/>
        <v>21</v>
      </c>
      <c r="H116" s="258" t="s">
        <v>439</v>
      </c>
      <c r="I116" s="52">
        <f>IF(Start!$E$12=5,0,COUNTIF(Jänner.!$D$14:$D$44,"FT"))</f>
        <v>0</v>
      </c>
      <c r="J116" s="395">
        <f t="shared" si="8"/>
        <v>201.60000000000002</v>
      </c>
      <c r="K116" s="53">
        <v>57.5</v>
      </c>
      <c r="L116" s="52"/>
      <c r="M116" s="52"/>
      <c r="N116" s="53"/>
    </row>
    <row r="117" spans="1:14">
      <c r="A117" s="259">
        <f>DATE($C$82,6,1)</f>
        <v>46539</v>
      </c>
      <c r="B117" s="130">
        <f t="shared" si="5"/>
        <v>30</v>
      </c>
      <c r="C117" s="130">
        <f t="shared" si="6"/>
        <v>0</v>
      </c>
      <c r="D117" s="130">
        <f t="shared" si="1"/>
        <v>8</v>
      </c>
      <c r="E117" s="53">
        <f t="shared" si="7"/>
        <v>22</v>
      </c>
      <c r="F117" s="131">
        <f>(E117-I117)*Gehalt!$E$38</f>
        <v>176</v>
      </c>
      <c r="G117" s="250">
        <f t="shared" si="3"/>
        <v>22</v>
      </c>
      <c r="H117" s="258" t="s">
        <v>440</v>
      </c>
      <c r="I117" s="52">
        <f>IF(Start!$E$12=5,0,COUNTIF(Jänner.!$D$14:$D$44,"FT"))</f>
        <v>0</v>
      </c>
      <c r="J117" s="395">
        <f t="shared" si="8"/>
        <v>211.20000000000002</v>
      </c>
      <c r="K117" s="53">
        <v>58</v>
      </c>
      <c r="L117" s="52"/>
      <c r="M117" s="52"/>
      <c r="N117" s="53"/>
    </row>
    <row r="118" spans="1:14">
      <c r="A118" s="259">
        <f>DATE($C$82,7,1)</f>
        <v>46569</v>
      </c>
      <c r="B118" s="130">
        <f t="shared" si="5"/>
        <v>31</v>
      </c>
      <c r="C118" s="130">
        <f t="shared" si="6"/>
        <v>0</v>
      </c>
      <c r="D118" s="130">
        <f t="shared" si="1"/>
        <v>9</v>
      </c>
      <c r="E118" s="53">
        <f t="shared" si="7"/>
        <v>22</v>
      </c>
      <c r="F118" s="131">
        <f>(E118-I118)*Gehalt!$E$38</f>
        <v>176</v>
      </c>
      <c r="G118" s="250">
        <f t="shared" si="3"/>
        <v>22</v>
      </c>
      <c r="H118" s="258" t="s">
        <v>441</v>
      </c>
      <c r="I118" s="52">
        <f>IF(Start!$E$12=5,0,COUNTIF(Jänner.!$D$14:$D$44,"FT"))</f>
        <v>0</v>
      </c>
      <c r="J118" s="395">
        <f t="shared" si="8"/>
        <v>211.20000000000002</v>
      </c>
      <c r="K118" s="53">
        <v>58.5</v>
      </c>
      <c r="L118" s="52"/>
      <c r="M118" s="52"/>
      <c r="N118" s="53"/>
    </row>
    <row r="119" spans="1:14">
      <c r="A119" s="259">
        <f>DATE($C$82,8,1)</f>
        <v>46600</v>
      </c>
      <c r="B119" s="130">
        <f t="shared" si="5"/>
        <v>31</v>
      </c>
      <c r="C119" s="130">
        <f t="shared" si="6"/>
        <v>1</v>
      </c>
      <c r="D119" s="130">
        <f t="shared" si="1"/>
        <v>9</v>
      </c>
      <c r="E119" s="53">
        <f t="shared" si="7"/>
        <v>22</v>
      </c>
      <c r="F119" s="131">
        <f>(E119-I119)*Gehalt!$E$38</f>
        <v>176</v>
      </c>
      <c r="G119" s="250">
        <f t="shared" si="3"/>
        <v>22</v>
      </c>
      <c r="H119" s="258" t="s">
        <v>442</v>
      </c>
      <c r="I119" s="52">
        <f>IF(Start!$E$12=5,0,COUNTIF(Jänner.!$D$14:$D$44,"FT"))</f>
        <v>0</v>
      </c>
      <c r="J119" s="395">
        <f t="shared" si="8"/>
        <v>211.20000000000002</v>
      </c>
      <c r="K119" s="53">
        <v>59</v>
      </c>
      <c r="L119" s="52"/>
      <c r="M119" s="52"/>
      <c r="N119" s="53"/>
    </row>
    <row r="120" spans="1:14">
      <c r="A120" s="259">
        <f>DATE($C$82,9,1)</f>
        <v>46631</v>
      </c>
      <c r="B120" s="130">
        <f t="shared" si="5"/>
        <v>30</v>
      </c>
      <c r="C120" s="130">
        <f t="shared" si="6"/>
        <v>0</v>
      </c>
      <c r="D120" s="130">
        <f t="shared" si="1"/>
        <v>8</v>
      </c>
      <c r="E120" s="53">
        <f t="shared" si="7"/>
        <v>22</v>
      </c>
      <c r="F120" s="131">
        <f>(E120-I120)*Gehalt!$E$38</f>
        <v>176</v>
      </c>
      <c r="G120" s="250">
        <f t="shared" si="3"/>
        <v>22</v>
      </c>
      <c r="H120" s="258" t="s">
        <v>443</v>
      </c>
      <c r="I120" s="52">
        <f>IF(Start!$E$12=5,0,COUNTIF(Jänner.!$D$14:$D$44,"FT"))</f>
        <v>0</v>
      </c>
      <c r="J120" s="395">
        <f t="shared" si="8"/>
        <v>211.20000000000002</v>
      </c>
      <c r="K120" s="53">
        <v>59.5</v>
      </c>
      <c r="L120" s="52"/>
      <c r="M120" s="52"/>
      <c r="N120" s="53"/>
    </row>
    <row r="121" spans="1:14">
      <c r="A121" s="259">
        <f>DATE($C$82,10,1)</f>
        <v>46661</v>
      </c>
      <c r="B121" s="130">
        <f t="shared" si="5"/>
        <v>31</v>
      </c>
      <c r="C121" s="130">
        <f t="shared" si="6"/>
        <v>1</v>
      </c>
      <c r="D121" s="130">
        <f t="shared" si="1"/>
        <v>10</v>
      </c>
      <c r="E121" s="53">
        <f t="shared" si="7"/>
        <v>20</v>
      </c>
      <c r="F121" s="131">
        <f>(E121-I121)*Gehalt!$E$38</f>
        <v>160</v>
      </c>
      <c r="G121" s="250">
        <f t="shared" si="3"/>
        <v>21</v>
      </c>
      <c r="H121" s="258" t="s">
        <v>444</v>
      </c>
      <c r="I121" s="52">
        <f>IF(Start!$E$12=5,0,COUNTIF(Jänner.!$D$14:$D$44,"FT"))</f>
        <v>0</v>
      </c>
      <c r="J121" s="395">
        <f t="shared" si="8"/>
        <v>201.60000000000002</v>
      </c>
      <c r="K121" s="53">
        <v>60</v>
      </c>
      <c r="L121" s="52"/>
      <c r="M121" s="52"/>
      <c r="N121" s="53"/>
    </row>
    <row r="122" spans="1:14">
      <c r="A122" s="259">
        <f>DATE($C$82,11,1)</f>
        <v>46692</v>
      </c>
      <c r="B122" s="130">
        <f t="shared" si="5"/>
        <v>30</v>
      </c>
      <c r="C122" s="130">
        <f t="shared" si="6"/>
        <v>1</v>
      </c>
      <c r="D122" s="130">
        <f t="shared" si="1"/>
        <v>8</v>
      </c>
      <c r="E122" s="53">
        <f t="shared" si="7"/>
        <v>21</v>
      </c>
      <c r="F122" s="131">
        <f>(E122-I122)*Gehalt!$E$38</f>
        <v>168</v>
      </c>
      <c r="G122" s="250">
        <f t="shared" si="3"/>
        <v>22</v>
      </c>
      <c r="H122" s="258" t="s">
        <v>445</v>
      </c>
      <c r="I122" s="52">
        <f>IF(Start!$E$12=5,0,COUNTIF(Jänner.!$D$14:$D$44,"FT"))</f>
        <v>0</v>
      </c>
      <c r="J122" s="395">
        <f t="shared" si="8"/>
        <v>211.20000000000002</v>
      </c>
      <c r="K122" s="53">
        <v>60.5</v>
      </c>
      <c r="L122" s="52"/>
      <c r="M122" s="52"/>
      <c r="N122" s="53"/>
    </row>
    <row r="123" spans="1:14">
      <c r="A123" s="259">
        <f>DATE($C$82,12,1)</f>
        <v>46722</v>
      </c>
      <c r="B123" s="130">
        <f t="shared" si="5"/>
        <v>31</v>
      </c>
      <c r="C123" s="130">
        <f t="shared" si="6"/>
        <v>3</v>
      </c>
      <c r="D123" s="130">
        <f t="shared" si="1"/>
        <v>8</v>
      </c>
      <c r="E123" s="53">
        <f t="shared" si="7"/>
        <v>22</v>
      </c>
      <c r="F123" s="131">
        <f>(E123-I123)*Gehalt!$E$38</f>
        <v>176</v>
      </c>
      <c r="G123" s="250">
        <f t="shared" si="3"/>
        <v>23</v>
      </c>
      <c r="H123" s="258" t="s">
        <v>446</v>
      </c>
      <c r="I123" s="52">
        <f>IF(Start!$E$12=5,0,COUNTIF(Jänner.!$D$14:$D$44,"FT"))</f>
        <v>0</v>
      </c>
      <c r="J123" s="395">
        <f t="shared" si="8"/>
        <v>220.8</v>
      </c>
      <c r="K123" s="53">
        <v>61</v>
      </c>
      <c r="L123" s="52"/>
      <c r="M123" s="52"/>
      <c r="N123" s="53"/>
    </row>
    <row r="124" spans="1:14">
      <c r="A124" s="129" t="s">
        <v>380</v>
      </c>
      <c r="B124" s="130">
        <f>SUM(B101:B106)</f>
        <v>181</v>
      </c>
      <c r="C124" s="130">
        <f t="shared" ref="C124:E124" si="9">SUM(C101:C106)</f>
        <v>6</v>
      </c>
      <c r="D124" s="130">
        <f t="shared" si="9"/>
        <v>51</v>
      </c>
      <c r="E124" s="130">
        <f t="shared" si="9"/>
        <v>125</v>
      </c>
      <c r="F124" s="130"/>
      <c r="G124" s="251">
        <f>SUM(G101:G106)</f>
        <v>130</v>
      </c>
      <c r="J124" s="394"/>
      <c r="K124" s="53">
        <v>61.5</v>
      </c>
      <c r="L124" s="52"/>
      <c r="M124" s="52"/>
      <c r="N124" s="53"/>
    </row>
    <row r="125" spans="1:14">
      <c r="A125" s="129" t="s">
        <v>381</v>
      </c>
      <c r="B125" s="130">
        <f>SUM(B107:B112)</f>
        <v>184</v>
      </c>
      <c r="C125" s="130">
        <f t="shared" ref="C125:E125" si="10">SUM(C107:C112)</f>
        <v>8</v>
      </c>
      <c r="D125" s="130">
        <f t="shared" si="10"/>
        <v>54</v>
      </c>
      <c r="E125" s="130">
        <f t="shared" si="10"/>
        <v>125</v>
      </c>
      <c r="F125" s="130"/>
      <c r="G125" s="251">
        <f>SUM(G107:G112)</f>
        <v>130</v>
      </c>
      <c r="J125" s="394"/>
      <c r="K125" s="53">
        <v>62</v>
      </c>
      <c r="L125" s="52"/>
      <c r="M125" s="52"/>
      <c r="N125" s="53"/>
    </row>
    <row r="126" spans="1:14">
      <c r="A126" s="129" t="s">
        <v>229</v>
      </c>
      <c r="B126" s="130">
        <f>SUM(B100:B105)</f>
        <v>181</v>
      </c>
      <c r="C126" s="130">
        <f t="shared" ref="C126:E126" si="11">SUM(C100:C105)</f>
        <v>8</v>
      </c>
      <c r="D126" s="130">
        <f t="shared" si="11"/>
        <v>52</v>
      </c>
      <c r="E126" s="130">
        <f t="shared" si="11"/>
        <v>122</v>
      </c>
      <c r="F126" s="130"/>
      <c r="J126" s="394"/>
      <c r="K126" s="53">
        <v>62.5</v>
      </c>
      <c r="L126" s="52"/>
      <c r="M126" s="52"/>
      <c r="N126" s="53"/>
    </row>
    <row r="127" spans="1:14">
      <c r="A127" s="129" t="s">
        <v>230</v>
      </c>
      <c r="B127" s="130">
        <f>SUM(B106:B111)</f>
        <v>184</v>
      </c>
      <c r="C127" s="130">
        <f t="shared" ref="C127:E127" si="12">SUM(C106:C111)</f>
        <v>6</v>
      </c>
      <c r="D127" s="130">
        <f t="shared" si="12"/>
        <v>52</v>
      </c>
      <c r="E127" s="130">
        <f t="shared" si="12"/>
        <v>129</v>
      </c>
      <c r="F127" s="130"/>
      <c r="J127" s="394"/>
      <c r="K127" s="53">
        <v>63</v>
      </c>
      <c r="L127" s="52"/>
      <c r="M127" s="52"/>
      <c r="N127" s="53"/>
    </row>
    <row r="128" spans="1:14">
      <c r="A128" s="53"/>
      <c r="B128" s="292"/>
      <c r="D128" s="293"/>
      <c r="E128" s="292"/>
      <c r="F128" s="292"/>
      <c r="J128" s="394"/>
      <c r="K128" s="53">
        <v>63.5</v>
      </c>
      <c r="L128" s="52"/>
      <c r="M128" s="52"/>
      <c r="N128" s="53"/>
    </row>
    <row r="129" spans="1:14">
      <c r="A129" s="53"/>
      <c r="B129" s="292"/>
      <c r="D129" s="293"/>
      <c r="E129" s="292"/>
      <c r="F129" s="292"/>
      <c r="J129" s="394"/>
      <c r="K129" s="53">
        <v>64</v>
      </c>
      <c r="L129" s="52"/>
      <c r="M129" s="52"/>
      <c r="N129" s="53"/>
    </row>
    <row r="130" spans="1:14">
      <c r="B130" s="292"/>
      <c r="D130" s="293"/>
      <c r="E130" s="292"/>
      <c r="F130" s="292"/>
      <c r="J130" s="394"/>
      <c r="K130" s="53">
        <v>64.5</v>
      </c>
      <c r="L130" s="52"/>
      <c r="M130" s="52"/>
      <c r="N130" s="53"/>
    </row>
    <row r="131" spans="1:14">
      <c r="B131" s="292"/>
      <c r="D131" s="293"/>
      <c r="E131" s="292"/>
      <c r="F131" s="292"/>
      <c r="J131" s="394"/>
      <c r="K131" s="53">
        <v>65</v>
      </c>
      <c r="L131" s="52"/>
      <c r="M131" s="52"/>
      <c r="N131" s="53"/>
    </row>
    <row r="132" spans="1:14">
      <c r="B132" s="292"/>
      <c r="D132" s="293"/>
      <c r="E132" s="292"/>
      <c r="F132" s="292"/>
      <c r="J132" s="394"/>
      <c r="K132" s="53">
        <v>65.5</v>
      </c>
      <c r="L132" s="52"/>
      <c r="M132" s="52"/>
      <c r="N132" s="53"/>
    </row>
    <row r="133" spans="1:14">
      <c r="A133" s="53"/>
      <c r="B133" s="292"/>
      <c r="D133" s="293"/>
      <c r="E133" s="292"/>
      <c r="F133" s="292"/>
      <c r="J133" s="394"/>
      <c r="K133" s="53">
        <v>66</v>
      </c>
      <c r="L133" s="52"/>
      <c r="M133" s="52"/>
      <c r="N133" s="53"/>
    </row>
    <row r="134" spans="1:14">
      <c r="A134" s="53"/>
      <c r="B134" s="292"/>
      <c r="D134" s="293"/>
      <c r="E134" s="292"/>
      <c r="F134" s="292"/>
      <c r="J134" s="394"/>
      <c r="K134" s="53">
        <v>66.5</v>
      </c>
      <c r="L134" s="52"/>
      <c r="M134" s="52"/>
      <c r="N134" s="53"/>
    </row>
    <row r="135" spans="1:14">
      <c r="B135" s="292"/>
      <c r="D135" s="293"/>
      <c r="E135" s="292"/>
      <c r="F135" s="292"/>
      <c r="J135" s="394"/>
      <c r="K135" s="53">
        <v>67</v>
      </c>
      <c r="L135" s="52"/>
      <c r="M135" s="52"/>
      <c r="N135" s="53"/>
    </row>
    <row r="136" spans="1:14">
      <c r="B136" s="292"/>
      <c r="D136" s="293"/>
      <c r="E136" s="292"/>
      <c r="F136" s="292"/>
      <c r="J136" s="394"/>
      <c r="K136" s="53">
        <v>67.5</v>
      </c>
      <c r="L136" s="52"/>
      <c r="M136" s="52"/>
      <c r="N136" s="53"/>
    </row>
    <row r="137" spans="1:14">
      <c r="B137" s="292"/>
      <c r="D137" s="293"/>
      <c r="E137" s="292"/>
      <c r="F137" s="292"/>
      <c r="J137" s="394"/>
      <c r="K137" s="53">
        <v>68</v>
      </c>
      <c r="L137" s="52"/>
      <c r="M137" s="52"/>
      <c r="N137" s="53"/>
    </row>
    <row r="138" spans="1:14">
      <c r="B138" s="292"/>
      <c r="D138" s="293"/>
      <c r="E138" s="292"/>
      <c r="F138" s="292"/>
      <c r="J138" s="394"/>
      <c r="K138" s="53">
        <v>68.5</v>
      </c>
      <c r="L138" s="52"/>
      <c r="M138" s="52"/>
      <c r="N138" s="53"/>
    </row>
    <row r="139" spans="1:14">
      <c r="B139" s="292"/>
      <c r="D139" s="293"/>
      <c r="E139" s="292"/>
      <c r="F139" s="292"/>
      <c r="J139" s="394"/>
      <c r="K139" s="53">
        <v>69</v>
      </c>
      <c r="L139" s="52"/>
      <c r="M139" s="52"/>
      <c r="N139" s="53"/>
    </row>
    <row r="140" spans="1:14">
      <c r="B140" s="292"/>
      <c r="D140" s="293"/>
      <c r="E140" s="292"/>
      <c r="F140" s="292"/>
      <c r="J140" s="394"/>
      <c r="K140" s="53">
        <v>69.5</v>
      </c>
      <c r="L140" s="52"/>
      <c r="M140" s="52"/>
      <c r="N140" s="53"/>
    </row>
    <row r="141" spans="1:14">
      <c r="B141" s="292"/>
      <c r="D141" s="293"/>
      <c r="E141" s="292"/>
      <c r="F141" s="292"/>
      <c r="J141" s="394"/>
      <c r="K141" s="53">
        <v>70</v>
      </c>
      <c r="L141" s="52"/>
      <c r="M141" s="52"/>
      <c r="N141" s="53"/>
    </row>
    <row r="142" spans="1:14">
      <c r="B142" s="292"/>
      <c r="D142" s="293"/>
      <c r="E142" s="292"/>
      <c r="F142" s="292"/>
      <c r="J142" s="394"/>
      <c r="K142" s="53">
        <v>70.5</v>
      </c>
      <c r="L142" s="52"/>
      <c r="M142" s="52"/>
      <c r="N142" s="53"/>
    </row>
    <row r="143" spans="1:14">
      <c r="B143" s="292"/>
      <c r="D143" s="293"/>
      <c r="E143" s="292"/>
      <c r="F143" s="292"/>
      <c r="J143" s="394"/>
      <c r="K143" s="53">
        <v>71</v>
      </c>
      <c r="L143" s="52"/>
      <c r="M143" s="52"/>
      <c r="N143" s="53"/>
    </row>
    <row r="144" spans="1:14">
      <c r="B144" s="292"/>
      <c r="C144" s="292"/>
      <c r="D144" s="293"/>
      <c r="E144" s="292"/>
      <c r="F144" s="292"/>
      <c r="J144" s="394"/>
      <c r="K144" s="53">
        <v>71.5</v>
      </c>
      <c r="L144" s="52"/>
      <c r="M144" s="52"/>
      <c r="N144" s="53"/>
    </row>
    <row r="145" spans="2:14">
      <c r="B145" s="292"/>
      <c r="D145" s="293"/>
      <c r="E145" s="292"/>
      <c r="F145" s="292"/>
      <c r="J145" s="394"/>
      <c r="K145" s="53">
        <v>72</v>
      </c>
      <c r="L145" s="52"/>
      <c r="M145" s="52"/>
      <c r="N145" s="53"/>
    </row>
    <row r="146" spans="2:14">
      <c r="B146" s="292"/>
      <c r="D146" s="293"/>
      <c r="E146" s="292"/>
      <c r="F146" s="292"/>
      <c r="J146" s="394"/>
      <c r="K146" s="53">
        <v>72.5</v>
      </c>
      <c r="L146" s="52"/>
      <c r="M146" s="52"/>
      <c r="N146" s="53"/>
    </row>
    <row r="147" spans="2:14">
      <c r="B147" s="292"/>
      <c r="D147" s="293"/>
      <c r="E147" s="292"/>
      <c r="F147" s="292"/>
      <c r="J147" s="394"/>
      <c r="K147" s="53">
        <v>73</v>
      </c>
      <c r="L147" s="52"/>
      <c r="M147" s="52"/>
      <c r="N147" s="53"/>
    </row>
    <row r="148" spans="2:14">
      <c r="B148" s="292"/>
      <c r="D148" s="293"/>
      <c r="E148" s="292"/>
      <c r="F148" s="292"/>
      <c r="J148" s="394"/>
      <c r="K148" s="53">
        <v>73.5</v>
      </c>
      <c r="L148" s="52"/>
      <c r="M148" s="52"/>
      <c r="N148" s="53"/>
    </row>
    <row r="149" spans="2:14">
      <c r="B149" s="292"/>
      <c r="D149" s="293"/>
      <c r="E149" s="292"/>
      <c r="F149" s="292"/>
      <c r="J149" s="394"/>
      <c r="K149" s="53">
        <v>74</v>
      </c>
      <c r="L149" s="52"/>
      <c r="M149" s="52"/>
      <c r="N149" s="53"/>
    </row>
    <row r="150" spans="2:14">
      <c r="B150" s="292"/>
      <c r="J150" s="394"/>
      <c r="K150" s="53">
        <v>74.5</v>
      </c>
      <c r="L150" s="52"/>
      <c r="M150" s="52"/>
      <c r="N150" s="53"/>
    </row>
    <row r="151" spans="2:14">
      <c r="B151" s="292"/>
      <c r="J151" s="394"/>
      <c r="K151" s="53">
        <v>75</v>
      </c>
      <c r="L151" s="52"/>
      <c r="M151" s="52"/>
      <c r="N151" s="53"/>
    </row>
    <row r="152" spans="2:14">
      <c r="B152" s="292"/>
      <c r="J152" s="394"/>
      <c r="K152" s="53">
        <v>75.5</v>
      </c>
      <c r="L152" s="52"/>
      <c r="M152" s="52"/>
      <c r="N152" s="53"/>
    </row>
    <row r="153" spans="2:14">
      <c r="B153" s="292"/>
      <c r="C153" s="53"/>
      <c r="J153" s="394"/>
      <c r="K153" s="53">
        <v>76</v>
      </c>
      <c r="L153" s="52"/>
      <c r="M153" s="52"/>
      <c r="N153" s="53"/>
    </row>
    <row r="154" spans="2:14">
      <c r="B154" s="292"/>
      <c r="C154" s="309"/>
      <c r="J154" s="394"/>
      <c r="K154" s="53">
        <v>76.5</v>
      </c>
      <c r="L154" s="52"/>
      <c r="M154" s="52"/>
      <c r="N154" s="53"/>
    </row>
    <row r="155" spans="2:14">
      <c r="B155" s="292"/>
      <c r="C155" s="309"/>
      <c r="J155" s="394"/>
      <c r="K155" s="53">
        <v>77</v>
      </c>
      <c r="L155" s="52"/>
      <c r="M155" s="52"/>
      <c r="N155" s="53"/>
    </row>
    <row r="156" spans="2:14">
      <c r="B156" s="292"/>
      <c r="C156" s="309"/>
      <c r="J156" s="394"/>
      <c r="K156" s="53">
        <v>77.5</v>
      </c>
      <c r="L156" s="52"/>
      <c r="M156" s="52"/>
      <c r="N156" s="53"/>
    </row>
    <row r="157" spans="2:14">
      <c r="B157" s="292"/>
      <c r="C157" s="309"/>
      <c r="J157" s="394"/>
      <c r="K157" s="53">
        <v>78</v>
      </c>
      <c r="L157" s="52"/>
      <c r="M157" s="52"/>
      <c r="N157" s="53"/>
    </row>
    <row r="158" spans="2:14">
      <c r="B158" s="292"/>
      <c r="C158" s="309"/>
      <c r="J158" s="394"/>
      <c r="K158" s="53">
        <v>78.5</v>
      </c>
      <c r="L158" s="52"/>
      <c r="M158" s="52"/>
      <c r="N158" s="53"/>
    </row>
    <row r="159" spans="2:14">
      <c r="B159" s="292"/>
      <c r="C159" s="309"/>
      <c r="J159" s="394"/>
      <c r="K159" s="53">
        <v>79</v>
      </c>
      <c r="L159" s="52"/>
      <c r="M159" s="52"/>
      <c r="N159" s="53"/>
    </row>
    <row r="160" spans="2:14">
      <c r="B160" s="292"/>
      <c r="C160" s="309"/>
      <c r="J160" s="394"/>
      <c r="K160" s="53">
        <v>79.5</v>
      </c>
      <c r="L160" s="52"/>
      <c r="M160" s="52"/>
      <c r="N160" s="53"/>
    </row>
    <row r="161" spans="2:14">
      <c r="B161" s="292"/>
      <c r="C161" s="309"/>
      <c r="J161" s="394"/>
      <c r="K161" s="53">
        <v>80</v>
      </c>
      <c r="L161" s="52"/>
      <c r="M161" s="52"/>
      <c r="N161" s="53"/>
    </row>
    <row r="162" spans="2:14">
      <c r="B162" s="292"/>
      <c r="C162" s="309"/>
      <c r="J162" s="394"/>
      <c r="K162" s="53">
        <v>80.5</v>
      </c>
      <c r="L162" s="52"/>
      <c r="M162" s="52"/>
      <c r="N162" s="53"/>
    </row>
    <row r="163" spans="2:14">
      <c r="B163" s="292"/>
      <c r="C163" s="309"/>
      <c r="J163" s="394"/>
      <c r="K163" s="53">
        <v>81</v>
      </c>
      <c r="L163" s="52"/>
      <c r="M163" s="52"/>
      <c r="N163" s="53"/>
    </row>
    <row r="164" spans="2:14">
      <c r="B164" s="292"/>
      <c r="C164" s="309"/>
      <c r="J164" s="394"/>
      <c r="K164" s="53">
        <v>81.5</v>
      </c>
      <c r="L164" s="52"/>
      <c r="M164" s="52"/>
      <c r="N164" s="53"/>
    </row>
    <row r="165" spans="2:14">
      <c r="B165" s="292"/>
      <c r="C165" s="309"/>
      <c r="J165" s="394"/>
      <c r="K165" s="53">
        <v>82</v>
      </c>
      <c r="L165" s="52"/>
      <c r="M165" s="52"/>
      <c r="N165" s="53"/>
    </row>
    <row r="166" spans="2:14">
      <c r="B166" s="292"/>
      <c r="C166" s="309"/>
      <c r="J166" s="394"/>
      <c r="K166" s="53">
        <v>82.5</v>
      </c>
      <c r="L166" s="52"/>
      <c r="M166" s="52"/>
      <c r="N166" s="53"/>
    </row>
    <row r="167" spans="2:14">
      <c r="B167" s="292"/>
      <c r="C167" s="53"/>
      <c r="J167" s="394"/>
      <c r="K167" s="53">
        <v>83</v>
      </c>
      <c r="L167" s="52"/>
      <c r="M167" s="52"/>
      <c r="N167" s="53"/>
    </row>
    <row r="168" spans="2:14">
      <c r="B168" s="292"/>
      <c r="J168" s="394"/>
      <c r="K168" s="53">
        <v>83.5</v>
      </c>
      <c r="L168" s="52"/>
      <c r="M168" s="52"/>
      <c r="N168" s="53"/>
    </row>
    <row r="169" spans="2:14">
      <c r="B169" s="292"/>
      <c r="J169" s="394"/>
      <c r="K169" s="53">
        <v>84</v>
      </c>
      <c r="L169" s="52"/>
      <c r="M169" s="52"/>
      <c r="N169" s="53"/>
    </row>
    <row r="170" spans="2:14">
      <c r="B170" s="292"/>
      <c r="J170" s="394"/>
      <c r="K170" s="53">
        <v>84.5</v>
      </c>
      <c r="L170" s="52"/>
      <c r="M170" s="52"/>
      <c r="N170" s="53"/>
    </row>
    <row r="171" spans="2:14">
      <c r="B171" s="292"/>
      <c r="J171" s="394"/>
      <c r="K171" s="53">
        <v>85</v>
      </c>
      <c r="L171" s="52"/>
      <c r="M171" s="52"/>
      <c r="N171" s="53"/>
    </row>
    <row r="172" spans="2:14">
      <c r="B172" s="292"/>
      <c r="J172" s="394"/>
      <c r="K172" s="53">
        <v>85.5</v>
      </c>
      <c r="L172" s="52"/>
      <c r="M172" s="52"/>
      <c r="N172" s="53"/>
    </row>
    <row r="173" spans="2:14">
      <c r="B173" s="292"/>
      <c r="J173" s="394"/>
      <c r="K173" s="53">
        <v>86</v>
      </c>
      <c r="L173" s="52"/>
      <c r="M173" s="52"/>
      <c r="N173" s="53"/>
    </row>
    <row r="174" spans="2:14">
      <c r="B174" s="292"/>
      <c r="J174" s="394"/>
      <c r="K174" s="53">
        <v>86.5</v>
      </c>
      <c r="L174" s="52"/>
      <c r="M174" s="52"/>
      <c r="N174" s="53"/>
    </row>
    <row r="175" spans="2:14">
      <c r="B175" s="292"/>
      <c r="J175" s="394"/>
      <c r="K175" s="53">
        <v>87</v>
      </c>
      <c r="L175" s="52"/>
      <c r="M175" s="52"/>
      <c r="N175" s="53"/>
    </row>
    <row r="176" spans="2:14">
      <c r="B176" s="292"/>
      <c r="J176" s="394"/>
      <c r="K176" s="53">
        <v>87.5</v>
      </c>
      <c r="L176" s="52"/>
      <c r="M176" s="52"/>
      <c r="N176" s="53"/>
    </row>
    <row r="177" spans="2:14">
      <c r="B177" s="292"/>
      <c r="J177" s="394"/>
      <c r="K177" s="53">
        <v>88</v>
      </c>
      <c r="L177" s="52"/>
      <c r="M177" s="52"/>
      <c r="N177" s="53"/>
    </row>
    <row r="178" spans="2:14">
      <c r="B178" s="292"/>
      <c r="J178" s="394"/>
      <c r="K178" s="53">
        <v>88.5</v>
      </c>
      <c r="L178" s="52"/>
      <c r="M178" s="52"/>
      <c r="N178" s="53"/>
    </row>
    <row r="179" spans="2:14">
      <c r="B179" s="292"/>
      <c r="J179" s="394"/>
      <c r="K179" s="53">
        <v>89</v>
      </c>
      <c r="L179" s="52"/>
      <c r="M179" s="52"/>
      <c r="N179" s="53"/>
    </row>
    <row r="180" spans="2:14">
      <c r="B180" s="292"/>
      <c r="J180" s="394"/>
      <c r="K180" s="53">
        <v>89.5</v>
      </c>
      <c r="L180" s="52"/>
      <c r="M180" s="52"/>
      <c r="N180" s="53"/>
    </row>
    <row r="181" spans="2:14">
      <c r="B181" s="292"/>
      <c r="J181" s="394"/>
      <c r="K181" s="53">
        <v>90</v>
      </c>
      <c r="L181" s="52"/>
      <c r="M181" s="52"/>
      <c r="N181" s="53"/>
    </row>
    <row r="182" spans="2:14">
      <c r="B182" s="292"/>
      <c r="J182" s="394"/>
      <c r="K182" s="53">
        <v>90.5</v>
      </c>
      <c r="L182" s="52"/>
      <c r="M182" s="52"/>
      <c r="N182" s="53"/>
    </row>
    <row r="183" spans="2:14">
      <c r="B183" s="292"/>
      <c r="J183" s="394"/>
      <c r="K183" s="53">
        <v>91</v>
      </c>
      <c r="L183" s="52"/>
      <c r="M183" s="52"/>
      <c r="N183" s="53"/>
    </row>
    <row r="184" spans="2:14">
      <c r="B184" s="292"/>
      <c r="J184" s="394"/>
      <c r="K184" s="53">
        <v>91.5</v>
      </c>
      <c r="L184" s="52"/>
      <c r="M184" s="52"/>
      <c r="N184" s="53"/>
    </row>
    <row r="185" spans="2:14">
      <c r="B185" s="292"/>
      <c r="J185" s="394"/>
      <c r="K185" s="53">
        <v>92</v>
      </c>
      <c r="L185" s="52"/>
      <c r="M185" s="52"/>
      <c r="N185" s="53"/>
    </row>
    <row r="186" spans="2:14">
      <c r="B186" s="292"/>
      <c r="J186" s="394"/>
      <c r="K186" s="53">
        <v>92.5</v>
      </c>
      <c r="L186" s="52"/>
      <c r="M186" s="52"/>
      <c r="N186" s="53"/>
    </row>
    <row r="187" spans="2:14">
      <c r="B187" s="292"/>
      <c r="J187" s="394"/>
      <c r="K187" s="53">
        <v>93</v>
      </c>
      <c r="L187" s="52"/>
      <c r="M187" s="52"/>
      <c r="N187" s="53"/>
    </row>
    <row r="188" spans="2:14">
      <c r="B188" s="292"/>
      <c r="J188" s="394"/>
      <c r="K188" s="53">
        <v>93.5</v>
      </c>
      <c r="L188" s="52"/>
      <c r="M188" s="52"/>
      <c r="N188" s="53"/>
    </row>
    <row r="189" spans="2:14">
      <c r="B189" s="292"/>
      <c r="J189" s="394"/>
      <c r="K189" s="53">
        <v>94</v>
      </c>
      <c r="L189" s="52"/>
      <c r="M189" s="52"/>
      <c r="N189" s="53"/>
    </row>
    <row r="190" spans="2:14">
      <c r="B190" s="292"/>
      <c r="J190" s="394"/>
      <c r="K190" s="53">
        <v>94.5</v>
      </c>
      <c r="L190" s="52"/>
      <c r="M190" s="52"/>
      <c r="N190" s="53"/>
    </row>
    <row r="191" spans="2:14">
      <c r="B191" s="292"/>
      <c r="J191" s="394"/>
      <c r="K191" s="53">
        <v>95</v>
      </c>
      <c r="L191" s="52"/>
      <c r="M191" s="52"/>
      <c r="N191" s="53"/>
    </row>
    <row r="192" spans="2:14">
      <c r="B192" s="292"/>
      <c r="J192" s="394"/>
      <c r="K192" s="53">
        <v>95.5</v>
      </c>
      <c r="L192" s="52"/>
      <c r="M192" s="52"/>
      <c r="N192" s="53"/>
    </row>
    <row r="193" spans="2:14">
      <c r="B193" s="292"/>
      <c r="J193" s="394"/>
      <c r="K193" s="53">
        <v>96</v>
      </c>
      <c r="L193" s="52"/>
      <c r="M193" s="52"/>
      <c r="N193" s="53"/>
    </row>
    <row r="194" spans="2:14">
      <c r="B194" s="292"/>
      <c r="J194" s="394"/>
      <c r="K194" s="53">
        <v>96.5</v>
      </c>
      <c r="L194" s="52"/>
      <c r="M194" s="52"/>
      <c r="N194" s="53"/>
    </row>
    <row r="195" spans="2:14">
      <c r="B195" s="292"/>
      <c r="J195" s="394"/>
      <c r="K195" s="53">
        <v>97</v>
      </c>
      <c r="L195" s="52"/>
      <c r="M195" s="52"/>
      <c r="N195" s="53"/>
    </row>
    <row r="196" spans="2:14">
      <c r="B196" s="292"/>
      <c r="J196" s="394"/>
      <c r="K196" s="53">
        <v>97.5</v>
      </c>
      <c r="L196" s="52"/>
      <c r="M196" s="52"/>
      <c r="N196" s="53"/>
    </row>
    <row r="197" spans="2:14">
      <c r="B197" s="292"/>
      <c r="J197" s="394"/>
      <c r="K197" s="53">
        <v>98</v>
      </c>
      <c r="L197" s="52"/>
      <c r="M197" s="52"/>
      <c r="N197" s="53"/>
    </row>
    <row r="198" spans="2:14">
      <c r="B198" s="292"/>
      <c r="J198" s="394"/>
      <c r="K198" s="53">
        <v>98.5</v>
      </c>
      <c r="L198" s="52"/>
      <c r="M198" s="52"/>
      <c r="N198" s="53"/>
    </row>
    <row r="199" spans="2:14">
      <c r="B199" s="292"/>
      <c r="J199" s="394"/>
      <c r="K199" s="53">
        <v>99</v>
      </c>
      <c r="L199" s="52"/>
      <c r="M199" s="52"/>
      <c r="N199" s="53"/>
    </row>
    <row r="200" spans="2:14">
      <c r="B200" s="292"/>
      <c r="J200" s="394"/>
      <c r="K200" s="53">
        <v>99.5</v>
      </c>
      <c r="L200" s="52"/>
      <c r="M200" s="52"/>
      <c r="N200" s="53"/>
    </row>
    <row r="201" spans="2:14">
      <c r="B201" s="292"/>
      <c r="J201" s="394"/>
      <c r="K201" s="53">
        <v>100</v>
      </c>
      <c r="L201" s="52"/>
      <c r="M201" s="52"/>
      <c r="N201" s="53"/>
    </row>
  </sheetData>
  <sheetProtection algorithmName="SHA-512" hashValue="PBOusVffPLfPD0waprJUe3bFYkTEZNivfneLXQ9qmra6cz5N0F7f7EBb0oI7VivQbHaER9mN1Ro1KaGFeW5iqA==" saltValue="6BmT2O4ZOit9xp/AdfrXfQ==" spinCount="100000" sheet="1" objects="1" scenarios="1"/>
  <mergeCells count="1">
    <mergeCell ref="A51:C51"/>
  </mergeCells>
  <phoneticPr fontId="18" type="noConversion"/>
  <pageMargins left="0" right="0" top="0" bottom="0" header="0" footer="0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1:F78"/>
  <sheetViews>
    <sheetView showGridLines="0" showRowColHeaders="0" zoomScaleNormal="100" workbookViewId="0">
      <selection activeCell="D4" sqref="D4:E4"/>
    </sheetView>
  </sheetViews>
  <sheetFormatPr baseColWidth="10" defaultColWidth="11.5" defaultRowHeight="16"/>
  <cols>
    <col min="1" max="1" width="8.83203125" style="133" customWidth="1"/>
    <col min="2" max="2" width="16.83203125" style="133" customWidth="1"/>
    <col min="3" max="6" width="29.5" style="133" customWidth="1"/>
    <col min="7" max="7" width="11" style="133" customWidth="1"/>
    <col min="8" max="8" width="12.5" style="133" customWidth="1"/>
    <col min="9" max="9" width="9.5" style="133" customWidth="1"/>
    <col min="10" max="256" width="11.5" style="133"/>
    <col min="257" max="257" width="10.5" style="133" customWidth="1"/>
    <col min="258" max="258" width="14.5" style="133" customWidth="1"/>
    <col min="259" max="259" width="25.83203125" style="133" customWidth="1"/>
    <col min="260" max="260" width="28.1640625" style="133" customWidth="1"/>
    <col min="261" max="261" width="9.1640625" style="133" customWidth="1"/>
    <col min="262" max="262" width="4.83203125" style="133" customWidth="1"/>
    <col min="263" max="263" width="7.5" style="133" customWidth="1"/>
    <col min="264" max="264" width="9.1640625" style="133" customWidth="1"/>
    <col min="265" max="265" width="9.5" style="133" customWidth="1"/>
    <col min="266" max="512" width="11.5" style="133"/>
    <col min="513" max="513" width="10.5" style="133" customWidth="1"/>
    <col min="514" max="514" width="14.5" style="133" customWidth="1"/>
    <col min="515" max="515" width="25.83203125" style="133" customWidth="1"/>
    <col min="516" max="516" width="28.1640625" style="133" customWidth="1"/>
    <col min="517" max="517" width="9.1640625" style="133" customWidth="1"/>
    <col min="518" max="518" width="4.83203125" style="133" customWidth="1"/>
    <col min="519" max="519" width="7.5" style="133" customWidth="1"/>
    <col min="520" max="520" width="9.1640625" style="133" customWidth="1"/>
    <col min="521" max="521" width="9.5" style="133" customWidth="1"/>
    <col min="522" max="768" width="11.5" style="133"/>
    <col min="769" max="769" width="10.5" style="133" customWidth="1"/>
    <col min="770" max="770" width="14.5" style="133" customWidth="1"/>
    <col min="771" max="771" width="25.83203125" style="133" customWidth="1"/>
    <col min="772" max="772" width="28.1640625" style="133" customWidth="1"/>
    <col min="773" max="773" width="9.1640625" style="133" customWidth="1"/>
    <col min="774" max="774" width="4.83203125" style="133" customWidth="1"/>
    <col min="775" max="775" width="7.5" style="133" customWidth="1"/>
    <col min="776" max="776" width="9.1640625" style="133" customWidth="1"/>
    <col min="777" max="777" width="9.5" style="133" customWidth="1"/>
    <col min="778" max="1024" width="11.5" style="133"/>
    <col min="1025" max="1025" width="10.5" style="133" customWidth="1"/>
    <col min="1026" max="1026" width="14.5" style="133" customWidth="1"/>
    <col min="1027" max="1027" width="25.83203125" style="133" customWidth="1"/>
    <col min="1028" max="1028" width="28.1640625" style="133" customWidth="1"/>
    <col min="1029" max="1029" width="9.1640625" style="133" customWidth="1"/>
    <col min="1030" max="1030" width="4.83203125" style="133" customWidth="1"/>
    <col min="1031" max="1031" width="7.5" style="133" customWidth="1"/>
    <col min="1032" max="1032" width="9.1640625" style="133" customWidth="1"/>
    <col min="1033" max="1033" width="9.5" style="133" customWidth="1"/>
    <col min="1034" max="1280" width="11.5" style="133"/>
    <col min="1281" max="1281" width="10.5" style="133" customWidth="1"/>
    <col min="1282" max="1282" width="14.5" style="133" customWidth="1"/>
    <col min="1283" max="1283" width="25.83203125" style="133" customWidth="1"/>
    <col min="1284" max="1284" width="28.1640625" style="133" customWidth="1"/>
    <col min="1285" max="1285" width="9.1640625" style="133" customWidth="1"/>
    <col min="1286" max="1286" width="4.83203125" style="133" customWidth="1"/>
    <col min="1287" max="1287" width="7.5" style="133" customWidth="1"/>
    <col min="1288" max="1288" width="9.1640625" style="133" customWidth="1"/>
    <col min="1289" max="1289" width="9.5" style="133" customWidth="1"/>
    <col min="1290" max="1536" width="11.5" style="133"/>
    <col min="1537" max="1537" width="10.5" style="133" customWidth="1"/>
    <col min="1538" max="1538" width="14.5" style="133" customWidth="1"/>
    <col min="1539" max="1539" width="25.83203125" style="133" customWidth="1"/>
    <col min="1540" max="1540" width="28.1640625" style="133" customWidth="1"/>
    <col min="1541" max="1541" width="9.1640625" style="133" customWidth="1"/>
    <col min="1542" max="1542" width="4.83203125" style="133" customWidth="1"/>
    <col min="1543" max="1543" width="7.5" style="133" customWidth="1"/>
    <col min="1544" max="1544" width="9.1640625" style="133" customWidth="1"/>
    <col min="1545" max="1545" width="9.5" style="133" customWidth="1"/>
    <col min="1546" max="1792" width="11.5" style="133"/>
    <col min="1793" max="1793" width="10.5" style="133" customWidth="1"/>
    <col min="1794" max="1794" width="14.5" style="133" customWidth="1"/>
    <col min="1795" max="1795" width="25.83203125" style="133" customWidth="1"/>
    <col min="1796" max="1796" width="28.1640625" style="133" customWidth="1"/>
    <col min="1797" max="1797" width="9.1640625" style="133" customWidth="1"/>
    <col min="1798" max="1798" width="4.83203125" style="133" customWidth="1"/>
    <col min="1799" max="1799" width="7.5" style="133" customWidth="1"/>
    <col min="1800" max="1800" width="9.1640625" style="133" customWidth="1"/>
    <col min="1801" max="1801" width="9.5" style="133" customWidth="1"/>
    <col min="1802" max="2048" width="11.5" style="133"/>
    <col min="2049" max="2049" width="10.5" style="133" customWidth="1"/>
    <col min="2050" max="2050" width="14.5" style="133" customWidth="1"/>
    <col min="2051" max="2051" width="25.83203125" style="133" customWidth="1"/>
    <col min="2052" max="2052" width="28.1640625" style="133" customWidth="1"/>
    <col min="2053" max="2053" width="9.1640625" style="133" customWidth="1"/>
    <col min="2054" max="2054" width="4.83203125" style="133" customWidth="1"/>
    <col min="2055" max="2055" width="7.5" style="133" customWidth="1"/>
    <col min="2056" max="2056" width="9.1640625" style="133" customWidth="1"/>
    <col min="2057" max="2057" width="9.5" style="133" customWidth="1"/>
    <col min="2058" max="2304" width="11.5" style="133"/>
    <col min="2305" max="2305" width="10.5" style="133" customWidth="1"/>
    <col min="2306" max="2306" width="14.5" style="133" customWidth="1"/>
    <col min="2307" max="2307" width="25.83203125" style="133" customWidth="1"/>
    <col min="2308" max="2308" width="28.1640625" style="133" customWidth="1"/>
    <col min="2309" max="2309" width="9.1640625" style="133" customWidth="1"/>
    <col min="2310" max="2310" width="4.83203125" style="133" customWidth="1"/>
    <col min="2311" max="2311" width="7.5" style="133" customWidth="1"/>
    <col min="2312" max="2312" width="9.1640625" style="133" customWidth="1"/>
    <col min="2313" max="2313" width="9.5" style="133" customWidth="1"/>
    <col min="2314" max="2560" width="11.5" style="133"/>
    <col min="2561" max="2561" width="10.5" style="133" customWidth="1"/>
    <col min="2562" max="2562" width="14.5" style="133" customWidth="1"/>
    <col min="2563" max="2563" width="25.83203125" style="133" customWidth="1"/>
    <col min="2564" max="2564" width="28.1640625" style="133" customWidth="1"/>
    <col min="2565" max="2565" width="9.1640625" style="133" customWidth="1"/>
    <col min="2566" max="2566" width="4.83203125" style="133" customWidth="1"/>
    <col min="2567" max="2567" width="7.5" style="133" customWidth="1"/>
    <col min="2568" max="2568" width="9.1640625" style="133" customWidth="1"/>
    <col min="2569" max="2569" width="9.5" style="133" customWidth="1"/>
    <col min="2570" max="2816" width="11.5" style="133"/>
    <col min="2817" max="2817" width="10.5" style="133" customWidth="1"/>
    <col min="2818" max="2818" width="14.5" style="133" customWidth="1"/>
    <col min="2819" max="2819" width="25.83203125" style="133" customWidth="1"/>
    <col min="2820" max="2820" width="28.1640625" style="133" customWidth="1"/>
    <col min="2821" max="2821" width="9.1640625" style="133" customWidth="1"/>
    <col min="2822" max="2822" width="4.83203125" style="133" customWidth="1"/>
    <col min="2823" max="2823" width="7.5" style="133" customWidth="1"/>
    <col min="2824" max="2824" width="9.1640625" style="133" customWidth="1"/>
    <col min="2825" max="2825" width="9.5" style="133" customWidth="1"/>
    <col min="2826" max="3072" width="11.5" style="133"/>
    <col min="3073" max="3073" width="10.5" style="133" customWidth="1"/>
    <col min="3074" max="3074" width="14.5" style="133" customWidth="1"/>
    <col min="3075" max="3075" width="25.83203125" style="133" customWidth="1"/>
    <col min="3076" max="3076" width="28.1640625" style="133" customWidth="1"/>
    <col min="3077" max="3077" width="9.1640625" style="133" customWidth="1"/>
    <col min="3078" max="3078" width="4.83203125" style="133" customWidth="1"/>
    <col min="3079" max="3079" width="7.5" style="133" customWidth="1"/>
    <col min="3080" max="3080" width="9.1640625" style="133" customWidth="1"/>
    <col min="3081" max="3081" width="9.5" style="133" customWidth="1"/>
    <col min="3082" max="3328" width="11.5" style="133"/>
    <col min="3329" max="3329" width="10.5" style="133" customWidth="1"/>
    <col min="3330" max="3330" width="14.5" style="133" customWidth="1"/>
    <col min="3331" max="3331" width="25.83203125" style="133" customWidth="1"/>
    <col min="3332" max="3332" width="28.1640625" style="133" customWidth="1"/>
    <col min="3333" max="3333" width="9.1640625" style="133" customWidth="1"/>
    <col min="3334" max="3334" width="4.83203125" style="133" customWidth="1"/>
    <col min="3335" max="3335" width="7.5" style="133" customWidth="1"/>
    <col min="3336" max="3336" width="9.1640625" style="133" customWidth="1"/>
    <col min="3337" max="3337" width="9.5" style="133" customWidth="1"/>
    <col min="3338" max="3584" width="11.5" style="133"/>
    <col min="3585" max="3585" width="10.5" style="133" customWidth="1"/>
    <col min="3586" max="3586" width="14.5" style="133" customWidth="1"/>
    <col min="3587" max="3587" width="25.83203125" style="133" customWidth="1"/>
    <col min="3588" max="3588" width="28.1640625" style="133" customWidth="1"/>
    <col min="3589" max="3589" width="9.1640625" style="133" customWidth="1"/>
    <col min="3590" max="3590" width="4.83203125" style="133" customWidth="1"/>
    <col min="3591" max="3591" width="7.5" style="133" customWidth="1"/>
    <col min="3592" max="3592" width="9.1640625" style="133" customWidth="1"/>
    <col min="3593" max="3593" width="9.5" style="133" customWidth="1"/>
    <col min="3594" max="3840" width="11.5" style="133"/>
    <col min="3841" max="3841" width="10.5" style="133" customWidth="1"/>
    <col min="3842" max="3842" width="14.5" style="133" customWidth="1"/>
    <col min="3843" max="3843" width="25.83203125" style="133" customWidth="1"/>
    <col min="3844" max="3844" width="28.1640625" style="133" customWidth="1"/>
    <col min="3845" max="3845" width="9.1640625" style="133" customWidth="1"/>
    <col min="3846" max="3846" width="4.83203125" style="133" customWidth="1"/>
    <col min="3847" max="3847" width="7.5" style="133" customWidth="1"/>
    <col min="3848" max="3848" width="9.1640625" style="133" customWidth="1"/>
    <col min="3849" max="3849" width="9.5" style="133" customWidth="1"/>
    <col min="3850" max="4096" width="11.5" style="133"/>
    <col min="4097" max="4097" width="10.5" style="133" customWidth="1"/>
    <col min="4098" max="4098" width="14.5" style="133" customWidth="1"/>
    <col min="4099" max="4099" width="25.83203125" style="133" customWidth="1"/>
    <col min="4100" max="4100" width="28.1640625" style="133" customWidth="1"/>
    <col min="4101" max="4101" width="9.1640625" style="133" customWidth="1"/>
    <col min="4102" max="4102" width="4.83203125" style="133" customWidth="1"/>
    <col min="4103" max="4103" width="7.5" style="133" customWidth="1"/>
    <col min="4104" max="4104" width="9.1640625" style="133" customWidth="1"/>
    <col min="4105" max="4105" width="9.5" style="133" customWidth="1"/>
    <col min="4106" max="4352" width="11.5" style="133"/>
    <col min="4353" max="4353" width="10.5" style="133" customWidth="1"/>
    <col min="4354" max="4354" width="14.5" style="133" customWidth="1"/>
    <col min="4355" max="4355" width="25.83203125" style="133" customWidth="1"/>
    <col min="4356" max="4356" width="28.1640625" style="133" customWidth="1"/>
    <col min="4357" max="4357" width="9.1640625" style="133" customWidth="1"/>
    <col min="4358" max="4358" width="4.83203125" style="133" customWidth="1"/>
    <col min="4359" max="4359" width="7.5" style="133" customWidth="1"/>
    <col min="4360" max="4360" width="9.1640625" style="133" customWidth="1"/>
    <col min="4361" max="4361" width="9.5" style="133" customWidth="1"/>
    <col min="4362" max="4608" width="11.5" style="133"/>
    <col min="4609" max="4609" width="10.5" style="133" customWidth="1"/>
    <col min="4610" max="4610" width="14.5" style="133" customWidth="1"/>
    <col min="4611" max="4611" width="25.83203125" style="133" customWidth="1"/>
    <col min="4612" max="4612" width="28.1640625" style="133" customWidth="1"/>
    <col min="4613" max="4613" width="9.1640625" style="133" customWidth="1"/>
    <col min="4614" max="4614" width="4.83203125" style="133" customWidth="1"/>
    <col min="4615" max="4615" width="7.5" style="133" customWidth="1"/>
    <col min="4616" max="4616" width="9.1640625" style="133" customWidth="1"/>
    <col min="4617" max="4617" width="9.5" style="133" customWidth="1"/>
    <col min="4618" max="4864" width="11.5" style="133"/>
    <col min="4865" max="4865" width="10.5" style="133" customWidth="1"/>
    <col min="4866" max="4866" width="14.5" style="133" customWidth="1"/>
    <col min="4867" max="4867" width="25.83203125" style="133" customWidth="1"/>
    <col min="4868" max="4868" width="28.1640625" style="133" customWidth="1"/>
    <col min="4869" max="4869" width="9.1640625" style="133" customWidth="1"/>
    <col min="4870" max="4870" width="4.83203125" style="133" customWidth="1"/>
    <col min="4871" max="4871" width="7.5" style="133" customWidth="1"/>
    <col min="4872" max="4872" width="9.1640625" style="133" customWidth="1"/>
    <col min="4873" max="4873" width="9.5" style="133" customWidth="1"/>
    <col min="4874" max="5120" width="11.5" style="133"/>
    <col min="5121" max="5121" width="10.5" style="133" customWidth="1"/>
    <col min="5122" max="5122" width="14.5" style="133" customWidth="1"/>
    <col min="5123" max="5123" width="25.83203125" style="133" customWidth="1"/>
    <col min="5124" max="5124" width="28.1640625" style="133" customWidth="1"/>
    <col min="5125" max="5125" width="9.1640625" style="133" customWidth="1"/>
    <col min="5126" max="5126" width="4.83203125" style="133" customWidth="1"/>
    <col min="5127" max="5127" width="7.5" style="133" customWidth="1"/>
    <col min="5128" max="5128" width="9.1640625" style="133" customWidth="1"/>
    <col min="5129" max="5129" width="9.5" style="133" customWidth="1"/>
    <col min="5130" max="5376" width="11.5" style="133"/>
    <col min="5377" max="5377" width="10.5" style="133" customWidth="1"/>
    <col min="5378" max="5378" width="14.5" style="133" customWidth="1"/>
    <col min="5379" max="5379" width="25.83203125" style="133" customWidth="1"/>
    <col min="5380" max="5380" width="28.1640625" style="133" customWidth="1"/>
    <col min="5381" max="5381" width="9.1640625" style="133" customWidth="1"/>
    <col min="5382" max="5382" width="4.83203125" style="133" customWidth="1"/>
    <col min="5383" max="5383" width="7.5" style="133" customWidth="1"/>
    <col min="5384" max="5384" width="9.1640625" style="133" customWidth="1"/>
    <col min="5385" max="5385" width="9.5" style="133" customWidth="1"/>
    <col min="5386" max="5632" width="11.5" style="133"/>
    <col min="5633" max="5633" width="10.5" style="133" customWidth="1"/>
    <col min="5634" max="5634" width="14.5" style="133" customWidth="1"/>
    <col min="5635" max="5635" width="25.83203125" style="133" customWidth="1"/>
    <col min="5636" max="5636" width="28.1640625" style="133" customWidth="1"/>
    <col min="5637" max="5637" width="9.1640625" style="133" customWidth="1"/>
    <col min="5638" max="5638" width="4.83203125" style="133" customWidth="1"/>
    <col min="5639" max="5639" width="7.5" style="133" customWidth="1"/>
    <col min="5640" max="5640" width="9.1640625" style="133" customWidth="1"/>
    <col min="5641" max="5641" width="9.5" style="133" customWidth="1"/>
    <col min="5642" max="5888" width="11.5" style="133"/>
    <col min="5889" max="5889" width="10.5" style="133" customWidth="1"/>
    <col min="5890" max="5890" width="14.5" style="133" customWidth="1"/>
    <col min="5891" max="5891" width="25.83203125" style="133" customWidth="1"/>
    <col min="5892" max="5892" width="28.1640625" style="133" customWidth="1"/>
    <col min="5893" max="5893" width="9.1640625" style="133" customWidth="1"/>
    <col min="5894" max="5894" width="4.83203125" style="133" customWidth="1"/>
    <col min="5895" max="5895" width="7.5" style="133" customWidth="1"/>
    <col min="5896" max="5896" width="9.1640625" style="133" customWidth="1"/>
    <col min="5897" max="5897" width="9.5" style="133" customWidth="1"/>
    <col min="5898" max="6144" width="11.5" style="133"/>
    <col min="6145" max="6145" width="10.5" style="133" customWidth="1"/>
    <col min="6146" max="6146" width="14.5" style="133" customWidth="1"/>
    <col min="6147" max="6147" width="25.83203125" style="133" customWidth="1"/>
    <col min="6148" max="6148" width="28.1640625" style="133" customWidth="1"/>
    <col min="6149" max="6149" width="9.1640625" style="133" customWidth="1"/>
    <col min="6150" max="6150" width="4.83203125" style="133" customWidth="1"/>
    <col min="6151" max="6151" width="7.5" style="133" customWidth="1"/>
    <col min="6152" max="6152" width="9.1640625" style="133" customWidth="1"/>
    <col min="6153" max="6153" width="9.5" style="133" customWidth="1"/>
    <col min="6154" max="6400" width="11.5" style="133"/>
    <col min="6401" max="6401" width="10.5" style="133" customWidth="1"/>
    <col min="6402" max="6402" width="14.5" style="133" customWidth="1"/>
    <col min="6403" max="6403" width="25.83203125" style="133" customWidth="1"/>
    <col min="6404" max="6404" width="28.1640625" style="133" customWidth="1"/>
    <col min="6405" max="6405" width="9.1640625" style="133" customWidth="1"/>
    <col min="6406" max="6406" width="4.83203125" style="133" customWidth="1"/>
    <col min="6407" max="6407" width="7.5" style="133" customWidth="1"/>
    <col min="6408" max="6408" width="9.1640625" style="133" customWidth="1"/>
    <col min="6409" max="6409" width="9.5" style="133" customWidth="1"/>
    <col min="6410" max="6656" width="11.5" style="133"/>
    <col min="6657" max="6657" width="10.5" style="133" customWidth="1"/>
    <col min="6658" max="6658" width="14.5" style="133" customWidth="1"/>
    <col min="6659" max="6659" width="25.83203125" style="133" customWidth="1"/>
    <col min="6660" max="6660" width="28.1640625" style="133" customWidth="1"/>
    <col min="6661" max="6661" width="9.1640625" style="133" customWidth="1"/>
    <col min="6662" max="6662" width="4.83203125" style="133" customWidth="1"/>
    <col min="6663" max="6663" width="7.5" style="133" customWidth="1"/>
    <col min="6664" max="6664" width="9.1640625" style="133" customWidth="1"/>
    <col min="6665" max="6665" width="9.5" style="133" customWidth="1"/>
    <col min="6666" max="6912" width="11.5" style="133"/>
    <col min="6913" max="6913" width="10.5" style="133" customWidth="1"/>
    <col min="6914" max="6914" width="14.5" style="133" customWidth="1"/>
    <col min="6915" max="6915" width="25.83203125" style="133" customWidth="1"/>
    <col min="6916" max="6916" width="28.1640625" style="133" customWidth="1"/>
    <col min="6917" max="6917" width="9.1640625" style="133" customWidth="1"/>
    <col min="6918" max="6918" width="4.83203125" style="133" customWidth="1"/>
    <col min="6919" max="6919" width="7.5" style="133" customWidth="1"/>
    <col min="6920" max="6920" width="9.1640625" style="133" customWidth="1"/>
    <col min="6921" max="6921" width="9.5" style="133" customWidth="1"/>
    <col min="6922" max="7168" width="11.5" style="133"/>
    <col min="7169" max="7169" width="10.5" style="133" customWidth="1"/>
    <col min="7170" max="7170" width="14.5" style="133" customWidth="1"/>
    <col min="7171" max="7171" width="25.83203125" style="133" customWidth="1"/>
    <col min="7172" max="7172" width="28.1640625" style="133" customWidth="1"/>
    <col min="7173" max="7173" width="9.1640625" style="133" customWidth="1"/>
    <col min="7174" max="7174" width="4.83203125" style="133" customWidth="1"/>
    <col min="7175" max="7175" width="7.5" style="133" customWidth="1"/>
    <col min="7176" max="7176" width="9.1640625" style="133" customWidth="1"/>
    <col min="7177" max="7177" width="9.5" style="133" customWidth="1"/>
    <col min="7178" max="7424" width="11.5" style="133"/>
    <col min="7425" max="7425" width="10.5" style="133" customWidth="1"/>
    <col min="7426" max="7426" width="14.5" style="133" customWidth="1"/>
    <col min="7427" max="7427" width="25.83203125" style="133" customWidth="1"/>
    <col min="7428" max="7428" width="28.1640625" style="133" customWidth="1"/>
    <col min="7429" max="7429" width="9.1640625" style="133" customWidth="1"/>
    <col min="7430" max="7430" width="4.83203125" style="133" customWidth="1"/>
    <col min="7431" max="7431" width="7.5" style="133" customWidth="1"/>
    <col min="7432" max="7432" width="9.1640625" style="133" customWidth="1"/>
    <col min="7433" max="7433" width="9.5" style="133" customWidth="1"/>
    <col min="7434" max="7680" width="11.5" style="133"/>
    <col min="7681" max="7681" width="10.5" style="133" customWidth="1"/>
    <col min="7682" max="7682" width="14.5" style="133" customWidth="1"/>
    <col min="7683" max="7683" width="25.83203125" style="133" customWidth="1"/>
    <col min="7684" max="7684" width="28.1640625" style="133" customWidth="1"/>
    <col min="7685" max="7685" width="9.1640625" style="133" customWidth="1"/>
    <col min="7686" max="7686" width="4.83203125" style="133" customWidth="1"/>
    <col min="7687" max="7687" width="7.5" style="133" customWidth="1"/>
    <col min="7688" max="7688" width="9.1640625" style="133" customWidth="1"/>
    <col min="7689" max="7689" width="9.5" style="133" customWidth="1"/>
    <col min="7690" max="7936" width="11.5" style="133"/>
    <col min="7937" max="7937" width="10.5" style="133" customWidth="1"/>
    <col min="7938" max="7938" width="14.5" style="133" customWidth="1"/>
    <col min="7939" max="7939" width="25.83203125" style="133" customWidth="1"/>
    <col min="7940" max="7940" width="28.1640625" style="133" customWidth="1"/>
    <col min="7941" max="7941" width="9.1640625" style="133" customWidth="1"/>
    <col min="7942" max="7942" width="4.83203125" style="133" customWidth="1"/>
    <col min="7943" max="7943" width="7.5" style="133" customWidth="1"/>
    <col min="7944" max="7944" width="9.1640625" style="133" customWidth="1"/>
    <col min="7945" max="7945" width="9.5" style="133" customWidth="1"/>
    <col min="7946" max="8192" width="11.5" style="133"/>
    <col min="8193" max="8193" width="10.5" style="133" customWidth="1"/>
    <col min="8194" max="8194" width="14.5" style="133" customWidth="1"/>
    <col min="8195" max="8195" width="25.83203125" style="133" customWidth="1"/>
    <col min="8196" max="8196" width="28.1640625" style="133" customWidth="1"/>
    <col min="8197" max="8197" width="9.1640625" style="133" customWidth="1"/>
    <col min="8198" max="8198" width="4.83203125" style="133" customWidth="1"/>
    <col min="8199" max="8199" width="7.5" style="133" customWidth="1"/>
    <col min="8200" max="8200" width="9.1640625" style="133" customWidth="1"/>
    <col min="8201" max="8201" width="9.5" style="133" customWidth="1"/>
    <col min="8202" max="8448" width="11.5" style="133"/>
    <col min="8449" max="8449" width="10.5" style="133" customWidth="1"/>
    <col min="8450" max="8450" width="14.5" style="133" customWidth="1"/>
    <col min="8451" max="8451" width="25.83203125" style="133" customWidth="1"/>
    <col min="8452" max="8452" width="28.1640625" style="133" customWidth="1"/>
    <col min="8453" max="8453" width="9.1640625" style="133" customWidth="1"/>
    <col min="8454" max="8454" width="4.83203125" style="133" customWidth="1"/>
    <col min="8455" max="8455" width="7.5" style="133" customWidth="1"/>
    <col min="8456" max="8456" width="9.1640625" style="133" customWidth="1"/>
    <col min="8457" max="8457" width="9.5" style="133" customWidth="1"/>
    <col min="8458" max="8704" width="11.5" style="133"/>
    <col min="8705" max="8705" width="10.5" style="133" customWidth="1"/>
    <col min="8706" max="8706" width="14.5" style="133" customWidth="1"/>
    <col min="8707" max="8707" width="25.83203125" style="133" customWidth="1"/>
    <col min="8708" max="8708" width="28.1640625" style="133" customWidth="1"/>
    <col min="8709" max="8709" width="9.1640625" style="133" customWidth="1"/>
    <col min="8710" max="8710" width="4.83203125" style="133" customWidth="1"/>
    <col min="8711" max="8711" width="7.5" style="133" customWidth="1"/>
    <col min="8712" max="8712" width="9.1640625" style="133" customWidth="1"/>
    <col min="8713" max="8713" width="9.5" style="133" customWidth="1"/>
    <col min="8714" max="8960" width="11.5" style="133"/>
    <col min="8961" max="8961" width="10.5" style="133" customWidth="1"/>
    <col min="8962" max="8962" width="14.5" style="133" customWidth="1"/>
    <col min="8963" max="8963" width="25.83203125" style="133" customWidth="1"/>
    <col min="8964" max="8964" width="28.1640625" style="133" customWidth="1"/>
    <col min="8965" max="8965" width="9.1640625" style="133" customWidth="1"/>
    <col min="8966" max="8966" width="4.83203125" style="133" customWidth="1"/>
    <col min="8967" max="8967" width="7.5" style="133" customWidth="1"/>
    <col min="8968" max="8968" width="9.1640625" style="133" customWidth="1"/>
    <col min="8969" max="8969" width="9.5" style="133" customWidth="1"/>
    <col min="8970" max="9216" width="11.5" style="133"/>
    <col min="9217" max="9217" width="10.5" style="133" customWidth="1"/>
    <col min="9218" max="9218" width="14.5" style="133" customWidth="1"/>
    <col min="9219" max="9219" width="25.83203125" style="133" customWidth="1"/>
    <col min="9220" max="9220" width="28.1640625" style="133" customWidth="1"/>
    <col min="9221" max="9221" width="9.1640625" style="133" customWidth="1"/>
    <col min="9222" max="9222" width="4.83203125" style="133" customWidth="1"/>
    <col min="9223" max="9223" width="7.5" style="133" customWidth="1"/>
    <col min="9224" max="9224" width="9.1640625" style="133" customWidth="1"/>
    <col min="9225" max="9225" width="9.5" style="133" customWidth="1"/>
    <col min="9226" max="9472" width="11.5" style="133"/>
    <col min="9473" max="9473" width="10.5" style="133" customWidth="1"/>
    <col min="9474" max="9474" width="14.5" style="133" customWidth="1"/>
    <col min="9475" max="9475" width="25.83203125" style="133" customWidth="1"/>
    <col min="9476" max="9476" width="28.1640625" style="133" customWidth="1"/>
    <col min="9477" max="9477" width="9.1640625" style="133" customWidth="1"/>
    <col min="9478" max="9478" width="4.83203125" style="133" customWidth="1"/>
    <col min="9479" max="9479" width="7.5" style="133" customWidth="1"/>
    <col min="9480" max="9480" width="9.1640625" style="133" customWidth="1"/>
    <col min="9481" max="9481" width="9.5" style="133" customWidth="1"/>
    <col min="9482" max="9728" width="11.5" style="133"/>
    <col min="9729" max="9729" width="10.5" style="133" customWidth="1"/>
    <col min="9730" max="9730" width="14.5" style="133" customWidth="1"/>
    <col min="9731" max="9731" width="25.83203125" style="133" customWidth="1"/>
    <col min="9732" max="9732" width="28.1640625" style="133" customWidth="1"/>
    <col min="9733" max="9733" width="9.1640625" style="133" customWidth="1"/>
    <col min="9734" max="9734" width="4.83203125" style="133" customWidth="1"/>
    <col min="9735" max="9735" width="7.5" style="133" customWidth="1"/>
    <col min="9736" max="9736" width="9.1640625" style="133" customWidth="1"/>
    <col min="9737" max="9737" width="9.5" style="133" customWidth="1"/>
    <col min="9738" max="9984" width="11.5" style="133"/>
    <col min="9985" max="9985" width="10.5" style="133" customWidth="1"/>
    <col min="9986" max="9986" width="14.5" style="133" customWidth="1"/>
    <col min="9987" max="9987" width="25.83203125" style="133" customWidth="1"/>
    <col min="9988" max="9988" width="28.1640625" style="133" customWidth="1"/>
    <col min="9989" max="9989" width="9.1640625" style="133" customWidth="1"/>
    <col min="9990" max="9990" width="4.83203125" style="133" customWidth="1"/>
    <col min="9991" max="9991" width="7.5" style="133" customWidth="1"/>
    <col min="9992" max="9992" width="9.1640625" style="133" customWidth="1"/>
    <col min="9993" max="9993" width="9.5" style="133" customWidth="1"/>
    <col min="9994" max="10240" width="11.5" style="133"/>
    <col min="10241" max="10241" width="10.5" style="133" customWidth="1"/>
    <col min="10242" max="10242" width="14.5" style="133" customWidth="1"/>
    <col min="10243" max="10243" width="25.83203125" style="133" customWidth="1"/>
    <col min="10244" max="10244" width="28.1640625" style="133" customWidth="1"/>
    <col min="10245" max="10245" width="9.1640625" style="133" customWidth="1"/>
    <col min="10246" max="10246" width="4.83203125" style="133" customWidth="1"/>
    <col min="10247" max="10247" width="7.5" style="133" customWidth="1"/>
    <col min="10248" max="10248" width="9.1640625" style="133" customWidth="1"/>
    <col min="10249" max="10249" width="9.5" style="133" customWidth="1"/>
    <col min="10250" max="10496" width="11.5" style="133"/>
    <col min="10497" max="10497" width="10.5" style="133" customWidth="1"/>
    <col min="10498" max="10498" width="14.5" style="133" customWidth="1"/>
    <col min="10499" max="10499" width="25.83203125" style="133" customWidth="1"/>
    <col min="10500" max="10500" width="28.1640625" style="133" customWidth="1"/>
    <col min="10501" max="10501" width="9.1640625" style="133" customWidth="1"/>
    <col min="10502" max="10502" width="4.83203125" style="133" customWidth="1"/>
    <col min="10503" max="10503" width="7.5" style="133" customWidth="1"/>
    <col min="10504" max="10504" width="9.1640625" style="133" customWidth="1"/>
    <col min="10505" max="10505" width="9.5" style="133" customWidth="1"/>
    <col min="10506" max="10752" width="11.5" style="133"/>
    <col min="10753" max="10753" width="10.5" style="133" customWidth="1"/>
    <col min="10754" max="10754" width="14.5" style="133" customWidth="1"/>
    <col min="10755" max="10755" width="25.83203125" style="133" customWidth="1"/>
    <col min="10756" max="10756" width="28.1640625" style="133" customWidth="1"/>
    <col min="10757" max="10757" width="9.1640625" style="133" customWidth="1"/>
    <col min="10758" max="10758" width="4.83203125" style="133" customWidth="1"/>
    <col min="10759" max="10759" width="7.5" style="133" customWidth="1"/>
    <col min="10760" max="10760" width="9.1640625" style="133" customWidth="1"/>
    <col min="10761" max="10761" width="9.5" style="133" customWidth="1"/>
    <col min="10762" max="11008" width="11.5" style="133"/>
    <col min="11009" max="11009" width="10.5" style="133" customWidth="1"/>
    <col min="11010" max="11010" width="14.5" style="133" customWidth="1"/>
    <col min="11011" max="11011" width="25.83203125" style="133" customWidth="1"/>
    <col min="11012" max="11012" width="28.1640625" style="133" customWidth="1"/>
    <col min="11013" max="11013" width="9.1640625" style="133" customWidth="1"/>
    <col min="11014" max="11014" width="4.83203125" style="133" customWidth="1"/>
    <col min="11015" max="11015" width="7.5" style="133" customWidth="1"/>
    <col min="11016" max="11016" width="9.1640625" style="133" customWidth="1"/>
    <col min="11017" max="11017" width="9.5" style="133" customWidth="1"/>
    <col min="11018" max="11264" width="11.5" style="133"/>
    <col min="11265" max="11265" width="10.5" style="133" customWidth="1"/>
    <col min="11266" max="11266" width="14.5" style="133" customWidth="1"/>
    <col min="11267" max="11267" width="25.83203125" style="133" customWidth="1"/>
    <col min="11268" max="11268" width="28.1640625" style="133" customWidth="1"/>
    <col min="11269" max="11269" width="9.1640625" style="133" customWidth="1"/>
    <col min="11270" max="11270" width="4.83203125" style="133" customWidth="1"/>
    <col min="11271" max="11271" width="7.5" style="133" customWidth="1"/>
    <col min="11272" max="11272" width="9.1640625" style="133" customWidth="1"/>
    <col min="11273" max="11273" width="9.5" style="133" customWidth="1"/>
    <col min="11274" max="11520" width="11.5" style="133"/>
    <col min="11521" max="11521" width="10.5" style="133" customWidth="1"/>
    <col min="11522" max="11522" width="14.5" style="133" customWidth="1"/>
    <col min="11523" max="11523" width="25.83203125" style="133" customWidth="1"/>
    <col min="11524" max="11524" width="28.1640625" style="133" customWidth="1"/>
    <col min="11525" max="11525" width="9.1640625" style="133" customWidth="1"/>
    <col min="11526" max="11526" width="4.83203125" style="133" customWidth="1"/>
    <col min="11527" max="11527" width="7.5" style="133" customWidth="1"/>
    <col min="11528" max="11528" width="9.1640625" style="133" customWidth="1"/>
    <col min="11529" max="11529" width="9.5" style="133" customWidth="1"/>
    <col min="11530" max="11776" width="11.5" style="133"/>
    <col min="11777" max="11777" width="10.5" style="133" customWidth="1"/>
    <col min="11778" max="11778" width="14.5" style="133" customWidth="1"/>
    <col min="11779" max="11779" width="25.83203125" style="133" customWidth="1"/>
    <col min="11780" max="11780" width="28.1640625" style="133" customWidth="1"/>
    <col min="11781" max="11781" width="9.1640625" style="133" customWidth="1"/>
    <col min="11782" max="11782" width="4.83203125" style="133" customWidth="1"/>
    <col min="11783" max="11783" width="7.5" style="133" customWidth="1"/>
    <col min="11784" max="11784" width="9.1640625" style="133" customWidth="1"/>
    <col min="11785" max="11785" width="9.5" style="133" customWidth="1"/>
    <col min="11786" max="12032" width="11.5" style="133"/>
    <col min="12033" max="12033" width="10.5" style="133" customWidth="1"/>
    <col min="12034" max="12034" width="14.5" style="133" customWidth="1"/>
    <col min="12035" max="12035" width="25.83203125" style="133" customWidth="1"/>
    <col min="12036" max="12036" width="28.1640625" style="133" customWidth="1"/>
    <col min="12037" max="12037" width="9.1640625" style="133" customWidth="1"/>
    <col min="12038" max="12038" width="4.83203125" style="133" customWidth="1"/>
    <col min="12039" max="12039" width="7.5" style="133" customWidth="1"/>
    <col min="12040" max="12040" width="9.1640625" style="133" customWidth="1"/>
    <col min="12041" max="12041" width="9.5" style="133" customWidth="1"/>
    <col min="12042" max="12288" width="11.5" style="133"/>
    <col min="12289" max="12289" width="10.5" style="133" customWidth="1"/>
    <col min="12290" max="12290" width="14.5" style="133" customWidth="1"/>
    <col min="12291" max="12291" width="25.83203125" style="133" customWidth="1"/>
    <col min="12292" max="12292" width="28.1640625" style="133" customWidth="1"/>
    <col min="12293" max="12293" width="9.1640625" style="133" customWidth="1"/>
    <col min="12294" max="12294" width="4.83203125" style="133" customWidth="1"/>
    <col min="12295" max="12295" width="7.5" style="133" customWidth="1"/>
    <col min="12296" max="12296" width="9.1640625" style="133" customWidth="1"/>
    <col min="12297" max="12297" width="9.5" style="133" customWidth="1"/>
    <col min="12298" max="12544" width="11.5" style="133"/>
    <col min="12545" max="12545" width="10.5" style="133" customWidth="1"/>
    <col min="12546" max="12546" width="14.5" style="133" customWidth="1"/>
    <col min="12547" max="12547" width="25.83203125" style="133" customWidth="1"/>
    <col min="12548" max="12548" width="28.1640625" style="133" customWidth="1"/>
    <col min="12549" max="12549" width="9.1640625" style="133" customWidth="1"/>
    <col min="12550" max="12550" width="4.83203125" style="133" customWidth="1"/>
    <col min="12551" max="12551" width="7.5" style="133" customWidth="1"/>
    <col min="12552" max="12552" width="9.1640625" style="133" customWidth="1"/>
    <col min="12553" max="12553" width="9.5" style="133" customWidth="1"/>
    <col min="12554" max="12800" width="11.5" style="133"/>
    <col min="12801" max="12801" width="10.5" style="133" customWidth="1"/>
    <col min="12802" max="12802" width="14.5" style="133" customWidth="1"/>
    <col min="12803" max="12803" width="25.83203125" style="133" customWidth="1"/>
    <col min="12804" max="12804" width="28.1640625" style="133" customWidth="1"/>
    <col min="12805" max="12805" width="9.1640625" style="133" customWidth="1"/>
    <col min="12806" max="12806" width="4.83203125" style="133" customWidth="1"/>
    <col min="12807" max="12807" width="7.5" style="133" customWidth="1"/>
    <col min="12808" max="12808" width="9.1640625" style="133" customWidth="1"/>
    <col min="12809" max="12809" width="9.5" style="133" customWidth="1"/>
    <col min="12810" max="13056" width="11.5" style="133"/>
    <col min="13057" max="13057" width="10.5" style="133" customWidth="1"/>
    <col min="13058" max="13058" width="14.5" style="133" customWidth="1"/>
    <col min="13059" max="13059" width="25.83203125" style="133" customWidth="1"/>
    <col min="13060" max="13060" width="28.1640625" style="133" customWidth="1"/>
    <col min="13061" max="13061" width="9.1640625" style="133" customWidth="1"/>
    <col min="13062" max="13062" width="4.83203125" style="133" customWidth="1"/>
    <col min="13063" max="13063" width="7.5" style="133" customWidth="1"/>
    <col min="13064" max="13064" width="9.1640625" style="133" customWidth="1"/>
    <col min="13065" max="13065" width="9.5" style="133" customWidth="1"/>
    <col min="13066" max="13312" width="11.5" style="133"/>
    <col min="13313" max="13313" width="10.5" style="133" customWidth="1"/>
    <col min="13314" max="13314" width="14.5" style="133" customWidth="1"/>
    <col min="13315" max="13315" width="25.83203125" style="133" customWidth="1"/>
    <col min="13316" max="13316" width="28.1640625" style="133" customWidth="1"/>
    <col min="13317" max="13317" width="9.1640625" style="133" customWidth="1"/>
    <col min="13318" max="13318" width="4.83203125" style="133" customWidth="1"/>
    <col min="13319" max="13319" width="7.5" style="133" customWidth="1"/>
    <col min="13320" max="13320" width="9.1640625" style="133" customWidth="1"/>
    <col min="13321" max="13321" width="9.5" style="133" customWidth="1"/>
    <col min="13322" max="13568" width="11.5" style="133"/>
    <col min="13569" max="13569" width="10.5" style="133" customWidth="1"/>
    <col min="13570" max="13570" width="14.5" style="133" customWidth="1"/>
    <col min="13571" max="13571" width="25.83203125" style="133" customWidth="1"/>
    <col min="13572" max="13572" width="28.1640625" style="133" customWidth="1"/>
    <col min="13573" max="13573" width="9.1640625" style="133" customWidth="1"/>
    <col min="13574" max="13574" width="4.83203125" style="133" customWidth="1"/>
    <col min="13575" max="13575" width="7.5" style="133" customWidth="1"/>
    <col min="13576" max="13576" width="9.1640625" style="133" customWidth="1"/>
    <col min="13577" max="13577" width="9.5" style="133" customWidth="1"/>
    <col min="13578" max="13824" width="11.5" style="133"/>
    <col min="13825" max="13825" width="10.5" style="133" customWidth="1"/>
    <col min="13826" max="13826" width="14.5" style="133" customWidth="1"/>
    <col min="13827" max="13827" width="25.83203125" style="133" customWidth="1"/>
    <col min="13828" max="13828" width="28.1640625" style="133" customWidth="1"/>
    <col min="13829" max="13829" width="9.1640625" style="133" customWidth="1"/>
    <col min="13830" max="13830" width="4.83203125" style="133" customWidth="1"/>
    <col min="13831" max="13831" width="7.5" style="133" customWidth="1"/>
    <col min="13832" max="13832" width="9.1640625" style="133" customWidth="1"/>
    <col min="13833" max="13833" width="9.5" style="133" customWidth="1"/>
    <col min="13834" max="14080" width="11.5" style="133"/>
    <col min="14081" max="14081" width="10.5" style="133" customWidth="1"/>
    <col min="14082" max="14082" width="14.5" style="133" customWidth="1"/>
    <col min="14083" max="14083" width="25.83203125" style="133" customWidth="1"/>
    <col min="14084" max="14084" width="28.1640625" style="133" customWidth="1"/>
    <col min="14085" max="14085" width="9.1640625" style="133" customWidth="1"/>
    <col min="14086" max="14086" width="4.83203125" style="133" customWidth="1"/>
    <col min="14087" max="14087" width="7.5" style="133" customWidth="1"/>
    <col min="14088" max="14088" width="9.1640625" style="133" customWidth="1"/>
    <col min="14089" max="14089" width="9.5" style="133" customWidth="1"/>
    <col min="14090" max="14336" width="11.5" style="133"/>
    <col min="14337" max="14337" width="10.5" style="133" customWidth="1"/>
    <col min="14338" max="14338" width="14.5" style="133" customWidth="1"/>
    <col min="14339" max="14339" width="25.83203125" style="133" customWidth="1"/>
    <col min="14340" max="14340" width="28.1640625" style="133" customWidth="1"/>
    <col min="14341" max="14341" width="9.1640625" style="133" customWidth="1"/>
    <col min="14342" max="14342" width="4.83203125" style="133" customWidth="1"/>
    <col min="14343" max="14343" width="7.5" style="133" customWidth="1"/>
    <col min="14344" max="14344" width="9.1640625" style="133" customWidth="1"/>
    <col min="14345" max="14345" width="9.5" style="133" customWidth="1"/>
    <col min="14346" max="14592" width="11.5" style="133"/>
    <col min="14593" max="14593" width="10.5" style="133" customWidth="1"/>
    <col min="14594" max="14594" width="14.5" style="133" customWidth="1"/>
    <col min="14595" max="14595" width="25.83203125" style="133" customWidth="1"/>
    <col min="14596" max="14596" width="28.1640625" style="133" customWidth="1"/>
    <col min="14597" max="14597" width="9.1640625" style="133" customWidth="1"/>
    <col min="14598" max="14598" width="4.83203125" style="133" customWidth="1"/>
    <col min="14599" max="14599" width="7.5" style="133" customWidth="1"/>
    <col min="14600" max="14600" width="9.1640625" style="133" customWidth="1"/>
    <col min="14601" max="14601" width="9.5" style="133" customWidth="1"/>
    <col min="14602" max="14848" width="11.5" style="133"/>
    <col min="14849" max="14849" width="10.5" style="133" customWidth="1"/>
    <col min="14850" max="14850" width="14.5" style="133" customWidth="1"/>
    <col min="14851" max="14851" width="25.83203125" style="133" customWidth="1"/>
    <col min="14852" max="14852" width="28.1640625" style="133" customWidth="1"/>
    <col min="14853" max="14853" width="9.1640625" style="133" customWidth="1"/>
    <col min="14854" max="14854" width="4.83203125" style="133" customWidth="1"/>
    <col min="14855" max="14855" width="7.5" style="133" customWidth="1"/>
    <col min="14856" max="14856" width="9.1640625" style="133" customWidth="1"/>
    <col min="14857" max="14857" width="9.5" style="133" customWidth="1"/>
    <col min="14858" max="15104" width="11.5" style="133"/>
    <col min="15105" max="15105" width="10.5" style="133" customWidth="1"/>
    <col min="15106" max="15106" width="14.5" style="133" customWidth="1"/>
    <col min="15107" max="15107" width="25.83203125" style="133" customWidth="1"/>
    <col min="15108" max="15108" width="28.1640625" style="133" customWidth="1"/>
    <col min="15109" max="15109" width="9.1640625" style="133" customWidth="1"/>
    <col min="15110" max="15110" width="4.83203125" style="133" customWidth="1"/>
    <col min="15111" max="15111" width="7.5" style="133" customWidth="1"/>
    <col min="15112" max="15112" width="9.1640625" style="133" customWidth="1"/>
    <col min="15113" max="15113" width="9.5" style="133" customWidth="1"/>
    <col min="15114" max="15360" width="11.5" style="133"/>
    <col min="15361" max="15361" width="10.5" style="133" customWidth="1"/>
    <col min="15362" max="15362" width="14.5" style="133" customWidth="1"/>
    <col min="15363" max="15363" width="25.83203125" style="133" customWidth="1"/>
    <col min="15364" max="15364" width="28.1640625" style="133" customWidth="1"/>
    <col min="15365" max="15365" width="9.1640625" style="133" customWidth="1"/>
    <col min="15366" max="15366" width="4.83203125" style="133" customWidth="1"/>
    <col min="15367" max="15367" width="7.5" style="133" customWidth="1"/>
    <col min="15368" max="15368" width="9.1640625" style="133" customWidth="1"/>
    <col min="15369" max="15369" width="9.5" style="133" customWidth="1"/>
    <col min="15370" max="15616" width="11.5" style="133"/>
    <col min="15617" max="15617" width="10.5" style="133" customWidth="1"/>
    <col min="15618" max="15618" width="14.5" style="133" customWidth="1"/>
    <col min="15619" max="15619" width="25.83203125" style="133" customWidth="1"/>
    <col min="15620" max="15620" width="28.1640625" style="133" customWidth="1"/>
    <col min="15621" max="15621" width="9.1640625" style="133" customWidth="1"/>
    <col min="15622" max="15622" width="4.83203125" style="133" customWidth="1"/>
    <col min="15623" max="15623" width="7.5" style="133" customWidth="1"/>
    <col min="15624" max="15624" width="9.1640625" style="133" customWidth="1"/>
    <col min="15625" max="15625" width="9.5" style="133" customWidth="1"/>
    <col min="15626" max="15872" width="11.5" style="133"/>
    <col min="15873" max="15873" width="10.5" style="133" customWidth="1"/>
    <col min="15874" max="15874" width="14.5" style="133" customWidth="1"/>
    <col min="15875" max="15875" width="25.83203125" style="133" customWidth="1"/>
    <col min="15876" max="15876" width="28.1640625" style="133" customWidth="1"/>
    <col min="15877" max="15877" width="9.1640625" style="133" customWidth="1"/>
    <col min="15878" max="15878" width="4.83203125" style="133" customWidth="1"/>
    <col min="15879" max="15879" width="7.5" style="133" customWidth="1"/>
    <col min="15880" max="15880" width="9.1640625" style="133" customWidth="1"/>
    <col min="15881" max="15881" width="9.5" style="133" customWidth="1"/>
    <col min="15882" max="16128" width="11.5" style="133"/>
    <col min="16129" max="16129" width="10.5" style="133" customWidth="1"/>
    <col min="16130" max="16130" width="14.5" style="133" customWidth="1"/>
    <col min="16131" max="16131" width="25.83203125" style="133" customWidth="1"/>
    <col min="16132" max="16132" width="28.1640625" style="133" customWidth="1"/>
    <col min="16133" max="16133" width="9.1640625" style="133" customWidth="1"/>
    <col min="16134" max="16134" width="4.83203125" style="133" customWidth="1"/>
    <col min="16135" max="16135" width="7.5" style="133" customWidth="1"/>
    <col min="16136" max="16136" width="9.1640625" style="133" customWidth="1"/>
    <col min="16137" max="16137" width="9.5" style="133" customWidth="1"/>
    <col min="16138" max="16384" width="11.5" style="133"/>
  </cols>
  <sheetData>
    <row r="1" spans="1:6">
      <c r="A1" s="410" t="s">
        <v>452</v>
      </c>
    </row>
    <row r="2" spans="1:6" ht="15.5" customHeight="1">
      <c r="B2" s="316" t="s">
        <v>0</v>
      </c>
      <c r="C2" s="256"/>
      <c r="D2" s="524">
        <v>2026</v>
      </c>
      <c r="E2" s="525"/>
    </row>
    <row r="3" spans="1:6" ht="5" customHeight="1">
      <c r="B3" s="317"/>
      <c r="C3" s="134"/>
      <c r="D3" s="132"/>
      <c r="E3" s="132"/>
    </row>
    <row r="4" spans="1:6" ht="15.5" customHeight="1">
      <c r="B4" s="316" t="s">
        <v>350</v>
      </c>
      <c r="C4" s="256"/>
      <c r="D4" s="526"/>
      <c r="E4" s="527"/>
    </row>
    <row r="5" spans="1:6" ht="5" customHeight="1">
      <c r="B5" s="317"/>
      <c r="C5" s="134"/>
      <c r="D5" s="134"/>
      <c r="E5" s="134"/>
    </row>
    <row r="6" spans="1:6" s="134" customFormat="1" ht="15.5" customHeight="1">
      <c r="B6" s="316" t="s">
        <v>60</v>
      </c>
      <c r="C6" s="256"/>
      <c r="D6" s="526"/>
      <c r="E6" s="527"/>
    </row>
    <row r="7" spans="1:6" ht="5" customHeight="1">
      <c r="B7" s="317"/>
      <c r="C7" s="134"/>
      <c r="D7" s="134"/>
      <c r="E7" s="134"/>
    </row>
    <row r="8" spans="1:6" s="134" customFormat="1" ht="15.5" customHeight="1">
      <c r="B8" s="316" t="s">
        <v>1</v>
      </c>
      <c r="C8" s="379" t="str">
        <f>IF(OR($D$8="Fachärztin/Facharzt_BSO1994",$D$8="Ärztin/Arzt in Ausbildung_BSO1994",$D$8="Allgemeinmedizinerin/Allgemeinmediziner_BSO1994"),"Besoldungsordnung 1994","Wiener Bedienstetengesetz 2018")</f>
        <v>Besoldungsordnung 1994</v>
      </c>
      <c r="D8" s="526" t="s">
        <v>336</v>
      </c>
      <c r="E8" s="527"/>
    </row>
    <row r="9" spans="1:6" ht="5" customHeight="1">
      <c r="B9" s="317"/>
      <c r="C9" s="134"/>
      <c r="D9" s="134"/>
      <c r="E9" s="134"/>
    </row>
    <row r="10" spans="1:6" ht="15.5" customHeight="1">
      <c r="B10" s="523" t="str">
        <f>"Vorrückungsstichtag / Gehaltsstufe: (Stand 01.01."&amp;$D$2&amp;")"</f>
        <v>Vorrückungsstichtag / Gehaltsstufe: (Stand 01.01.2026)</v>
      </c>
      <c r="C10" s="523"/>
      <c r="D10" s="375">
        <v>46753</v>
      </c>
      <c r="E10" s="374">
        <v>3</v>
      </c>
    </row>
    <row r="11" spans="1:6" ht="5" customHeight="1">
      <c r="B11" s="317"/>
      <c r="C11" s="134"/>
      <c r="D11" s="134"/>
      <c r="E11" s="134"/>
    </row>
    <row r="12" spans="1:6" ht="15.5" customHeight="1">
      <c r="B12" s="523" t="str">
        <f>"Beschäftigung: Wochenstundenanzahl / Arbeitstage"</f>
        <v>Beschäftigung: Wochenstundenanzahl / Arbeitstage</v>
      </c>
      <c r="C12" s="523"/>
      <c r="D12" s="374">
        <v>40</v>
      </c>
      <c r="E12" s="376">
        <v>5</v>
      </c>
    </row>
    <row r="13" spans="1:6" ht="5" customHeight="1">
      <c r="B13" s="260"/>
      <c r="C13" s="134"/>
    </row>
    <row r="14" spans="1:6" ht="15" customHeight="1">
      <c r="B14" s="261"/>
      <c r="C14" s="329" t="s">
        <v>246</v>
      </c>
      <c r="D14" s="332" t="s">
        <v>244</v>
      </c>
      <c r="E14" s="333" t="s">
        <v>358</v>
      </c>
      <c r="F14" s="330" t="s">
        <v>359</v>
      </c>
    </row>
    <row r="15" spans="1:6" ht="15" customHeight="1">
      <c r="B15" s="296" t="s">
        <v>89</v>
      </c>
      <c r="C15" s="302">
        <f ca="1">INDIRECT(B15&amp;"!$E$8")</f>
        <v>48</v>
      </c>
      <c r="D15" s="331"/>
      <c r="E15" s="304" t="str">
        <f ca="1">IF(INDIRECT(B15&amp;"!$E$54")=0,"",INDIRECT(B15&amp;"!$E$54")/2)</f>
        <v/>
      </c>
      <c r="F15" s="334" t="str">
        <f ca="1">IF(SUM(E33:E37,E15)=0,"",SUM(E33:E37,E15))</f>
        <v/>
      </c>
    </row>
    <row r="16" spans="1:6" ht="15" customHeight="1">
      <c r="B16" s="297" t="s">
        <v>2</v>
      </c>
      <c r="C16" s="377">
        <f t="shared" ref="C16:C29" ca="1" si="0">INDIRECT(B16&amp;"!$E$8")</f>
        <v>48</v>
      </c>
      <c r="D16" s="298"/>
      <c r="E16" s="380" t="str">
        <f t="shared" ref="E16:E29" ca="1" si="1">IF(INDIRECT(B16&amp;"!$E$54")=0,"",INDIRECT(B16&amp;"!$E$54")/2)</f>
        <v/>
      </c>
      <c r="F16" s="299"/>
    </row>
    <row r="17" spans="2:6" ht="15" customHeight="1">
      <c r="B17" s="300" t="s">
        <v>3</v>
      </c>
      <c r="C17" s="302">
        <f t="shared" ca="1" si="0"/>
        <v>48</v>
      </c>
      <c r="D17" s="298"/>
      <c r="E17" s="304" t="str">
        <f t="shared" ca="1" si="1"/>
        <v/>
      </c>
      <c r="F17" s="299"/>
    </row>
    <row r="18" spans="2:6" ht="15" customHeight="1">
      <c r="B18" s="300" t="s">
        <v>4</v>
      </c>
      <c r="C18" s="302">
        <f t="shared" ca="1" si="0"/>
        <v>48</v>
      </c>
      <c r="D18" s="298"/>
      <c r="E18" s="304" t="str">
        <f t="shared" ca="1" si="1"/>
        <v/>
      </c>
      <c r="F18" s="287" t="s">
        <v>286</v>
      </c>
    </row>
    <row r="19" spans="2:6" ht="15" customHeight="1">
      <c r="B19" s="300" t="s">
        <v>5</v>
      </c>
      <c r="C19" s="302">
        <f t="shared" ca="1" si="0"/>
        <v>48</v>
      </c>
      <c r="D19" s="298"/>
      <c r="E19" s="304" t="str">
        <f t="shared" ca="1" si="1"/>
        <v/>
      </c>
      <c r="F19" s="287">
        <f>33-((SUM(ABS($E$57),ABS($E$61),ABS($E$62),ABS($E$63))/$D$12))</f>
        <v>33</v>
      </c>
    </row>
    <row r="20" spans="2:6" ht="15" customHeight="1">
      <c r="B20" s="300" t="s">
        <v>6</v>
      </c>
      <c r="C20" s="302">
        <f t="shared" ca="1" si="0"/>
        <v>48</v>
      </c>
      <c r="D20" s="288" t="str">
        <f>TEXT(Februar!C14,"TT.MM.JJJJ")&amp;" - "&amp;TEXT(Juli!C44,"TT.MM.JJJJ")</f>
        <v>01.02.2026 - 31.07.2026</v>
      </c>
      <c r="E20" s="304" t="str">
        <f t="shared" ca="1" si="1"/>
        <v/>
      </c>
      <c r="F20" s="299"/>
    </row>
    <row r="21" spans="2:6" ht="15" customHeight="1">
      <c r="B21" s="301" t="s">
        <v>7</v>
      </c>
      <c r="C21" s="302">
        <f t="shared" ca="1" si="0"/>
        <v>48</v>
      </c>
      <c r="D21" s="303">
        <f>(SUM(Februar:Juli!$K$6))/(((Datenblatt!$G$124)*0.2)-(0.2*(SUM(Februar:Juli!$D$59))))</f>
        <v>48</v>
      </c>
      <c r="E21" s="304" t="str">
        <f t="shared" ca="1" si="1"/>
        <v/>
      </c>
      <c r="F21" s="305" t="str">
        <f ca="1">IF((SUM(E16:E21))=0,"",SUM(E16:E21))</f>
        <v/>
      </c>
    </row>
    <row r="22" spans="2:6" ht="15" customHeight="1">
      <c r="B22" s="297" t="s">
        <v>8</v>
      </c>
      <c r="C22" s="377">
        <f t="shared" ca="1" si="0"/>
        <v>48</v>
      </c>
      <c r="D22" s="306"/>
      <c r="E22" s="380" t="str">
        <f t="shared" ca="1" si="1"/>
        <v/>
      </c>
      <c r="F22" s="299"/>
    </row>
    <row r="23" spans="2:6" ht="15" customHeight="1">
      <c r="B23" s="300" t="s">
        <v>9</v>
      </c>
      <c r="C23" s="302">
        <f t="shared" ca="1" si="0"/>
        <v>48</v>
      </c>
      <c r="D23" s="298"/>
      <c r="E23" s="304" t="str">
        <f t="shared" ca="1" si="1"/>
        <v/>
      </c>
      <c r="F23" s="299"/>
    </row>
    <row r="24" spans="2:6" ht="15" customHeight="1">
      <c r="B24" s="300" t="s">
        <v>10</v>
      </c>
      <c r="C24" s="302">
        <f t="shared" ca="1" si="0"/>
        <v>48</v>
      </c>
      <c r="D24" s="298"/>
      <c r="E24" s="304" t="str">
        <f t="shared" ca="1" si="1"/>
        <v/>
      </c>
      <c r="F24" s="287" t="s">
        <v>286</v>
      </c>
    </row>
    <row r="25" spans="2:6" ht="15" customHeight="1">
      <c r="B25" s="300" t="s">
        <v>11</v>
      </c>
      <c r="C25" s="302">
        <f t="shared" ca="1" si="0"/>
        <v>48</v>
      </c>
      <c r="D25" s="298"/>
      <c r="E25" s="304" t="str">
        <f t="shared" ca="1" si="1"/>
        <v/>
      </c>
      <c r="F25" s="287">
        <f>33-((SUM(ABS($E$67),ABS($E$71),ABS($E$72),ABS($E$73))/$D$12))</f>
        <v>33</v>
      </c>
    </row>
    <row r="26" spans="2:6" ht="15" customHeight="1">
      <c r="B26" s="300" t="s">
        <v>12</v>
      </c>
      <c r="C26" s="302">
        <f t="shared" ca="1" si="0"/>
        <v>48</v>
      </c>
      <c r="D26" s="288" t="str">
        <f>TEXT(August!C14,"TT.MM.JJJJ")&amp;" - "&amp;TEXT(Jänner.!C44,"TT.MM.JJJJ")</f>
        <v>01.08.2026 - 31.01.2027</v>
      </c>
      <c r="E26" s="304" t="str">
        <f t="shared" ca="1" si="1"/>
        <v/>
      </c>
      <c r="F26" s="299"/>
    </row>
    <row r="27" spans="2:6" ht="15" customHeight="1">
      <c r="B27" s="464" t="s">
        <v>245</v>
      </c>
      <c r="C27" s="302">
        <f t="shared" ca="1" si="0"/>
        <v>48</v>
      </c>
      <c r="D27" s="463">
        <f>(SUM(August:Jänner.!$K$6))/(((Datenblatt!$G$125)*0.2)-(0.2*(SUM(August:Jänner.!$D$59))))</f>
        <v>48</v>
      </c>
      <c r="E27" s="304" t="str">
        <f t="shared" ca="1" si="1"/>
        <v/>
      </c>
      <c r="F27" s="334" t="str">
        <f ca="1">IF((SUM(E22:E27))=0,"",SUM(E22:E27))</f>
        <v/>
      </c>
    </row>
    <row r="28" spans="2:6" ht="15" customHeight="1">
      <c r="B28" s="465" t="s">
        <v>436</v>
      </c>
      <c r="C28" s="377">
        <f t="shared" ca="1" si="0"/>
        <v>48</v>
      </c>
      <c r="D28" s="306"/>
      <c r="E28" s="380" t="str">
        <f t="shared" ca="1" si="1"/>
        <v/>
      </c>
      <c r="F28" s="470"/>
    </row>
    <row r="29" spans="2:6" ht="15" customHeight="1">
      <c r="B29" s="466" t="s">
        <v>437</v>
      </c>
      <c r="C29" s="378">
        <f t="shared" ca="1" si="0"/>
        <v>48</v>
      </c>
      <c r="D29" s="467"/>
      <c r="E29" s="381" t="str">
        <f t="shared" ca="1" si="1"/>
        <v/>
      </c>
      <c r="F29" s="468"/>
    </row>
    <row r="30" spans="2:6" ht="10" customHeight="1">
      <c r="D30" s="257"/>
    </row>
    <row r="31" spans="2:6" s="134" customFormat="1" ht="15" customHeight="1">
      <c r="B31" s="328"/>
      <c r="C31" s="335">
        <f>DATE(D2,1,1)</f>
        <v>46023</v>
      </c>
      <c r="D31" s="521" t="str">
        <f>"angetretene ND Anzahl bitte eintragen"&amp;" "&amp;$D$2-1</f>
        <v>angetretene ND Anzahl bitte eintragen 2025</v>
      </c>
      <c r="E31" s="522"/>
    </row>
    <row r="32" spans="2:6" ht="15" customHeight="1">
      <c r="B32" s="327" t="s">
        <v>233</v>
      </c>
      <c r="C32" s="336"/>
      <c r="D32" s="337" t="s">
        <v>7</v>
      </c>
      <c r="E32" s="284"/>
    </row>
    <row r="33" spans="2:5" ht="15" customHeight="1">
      <c r="B33" s="367" t="s">
        <v>234</v>
      </c>
      <c r="C33" s="338"/>
      <c r="D33" s="337" t="s">
        <v>8</v>
      </c>
      <c r="E33" s="284"/>
    </row>
    <row r="34" spans="2:5" ht="15" customHeight="1">
      <c r="B34" s="285" t="s">
        <v>147</v>
      </c>
      <c r="C34" s="338"/>
      <c r="D34" s="337" t="s">
        <v>9</v>
      </c>
      <c r="E34" s="284"/>
    </row>
    <row r="35" spans="2:5" ht="15" customHeight="1">
      <c r="B35" s="286" t="s">
        <v>165</v>
      </c>
      <c r="C35" s="339"/>
      <c r="D35" s="337" t="s">
        <v>10</v>
      </c>
      <c r="E35" s="284"/>
    </row>
    <row r="36" spans="2:5" ht="15" customHeight="1">
      <c r="D36" s="366" t="s">
        <v>11</v>
      </c>
      <c r="E36" s="284"/>
    </row>
    <row r="37" spans="2:5" ht="15" customHeight="1">
      <c r="C37" s="281"/>
      <c r="D37" s="308" t="s">
        <v>12</v>
      </c>
      <c r="E37" s="429"/>
    </row>
    <row r="38" spans="2:5" ht="15" customHeight="1"/>
    <row r="39" spans="2:5" s="262" customFormat="1" ht="12" hidden="1" customHeight="1">
      <c r="B39" s="264" t="s">
        <v>157</v>
      </c>
      <c r="C39" s="264" t="s">
        <v>254</v>
      </c>
      <c r="D39" s="264" t="s">
        <v>255</v>
      </c>
    </row>
    <row r="40" spans="2:5" s="262" customFormat="1" ht="12" hidden="1" customHeight="1">
      <c r="B40" s="265" t="s">
        <v>89</v>
      </c>
      <c r="C40" s="272">
        <f ca="1">INDIRECT(B40&amp;"!$D$51")+INDIRECT(B40&amp;"!$D$52")+INDIRECT(B40&amp;"!$D$53")+INDIRECT(B40&amp;"!$D$54")+INDIRECT(B40&amp;"!$D$56")+INDIRECT(B40&amp;"!$D$57")+INDIRECT(B40&amp;"!$D$58")+INDIRECT(B40&amp;"!$D$60")</f>
        <v>0</v>
      </c>
      <c r="D40" s="266">
        <f ca="1">INDIRECT(B40&amp;"!$B$51")+INDIRECT(B40&amp;"!$B$52")+INDIRECT(B40&amp;"!$B$53")+INDIRECT(B40&amp;"!$B$54")+INDIRECT(B40&amp;"!$B$56")+INDIRECT(B40&amp;"!$B$57")+INDIRECT(B40&amp;"!$B$58")+INDIRECT(B40&amp;"!$B$60")</f>
        <v>0</v>
      </c>
      <c r="E40" s="271"/>
    </row>
    <row r="41" spans="2:5" s="262" customFormat="1" ht="12" hidden="1" customHeight="1">
      <c r="B41" s="265" t="s">
        <v>2</v>
      </c>
      <c r="C41" s="272">
        <f t="shared" ref="C41:C52" ca="1" si="2">INDIRECT(B41&amp;"!$D$51")+INDIRECT(B41&amp;"!$D$52")+INDIRECT(B41&amp;"!$D$53")+INDIRECT(B41&amp;"!$D$54")+INDIRECT(B41&amp;"!$D$56")+INDIRECT(B41&amp;"!$D$57")+INDIRECT(B41&amp;"!$D$58")+INDIRECT(B41&amp;"!$D$60")</f>
        <v>0</v>
      </c>
      <c r="D41" s="266">
        <f t="shared" ref="D41:D52" ca="1" si="3">INDIRECT(B41&amp;"!$B$51")+INDIRECT(B41&amp;"!$B$52")+INDIRECT(B41&amp;"!$B$53")+INDIRECT(B41&amp;"!$B$54")+INDIRECT(B41&amp;"!$B$56")+INDIRECT(B41&amp;"!$B$57")+INDIRECT(B41&amp;"!$B$58")+INDIRECT(B41&amp;"!$B$60")</f>
        <v>0</v>
      </c>
    </row>
    <row r="42" spans="2:5" s="262" customFormat="1" ht="12" hidden="1" customHeight="1">
      <c r="B42" s="265" t="s">
        <v>3</v>
      </c>
      <c r="C42" s="272">
        <f t="shared" ca="1" si="2"/>
        <v>0</v>
      </c>
      <c r="D42" s="266">
        <f t="shared" ca="1" si="3"/>
        <v>0</v>
      </c>
    </row>
    <row r="43" spans="2:5" s="262" customFormat="1" ht="12" hidden="1" customHeight="1">
      <c r="B43" s="265" t="s">
        <v>4</v>
      </c>
      <c r="C43" s="272">
        <f t="shared" ca="1" si="2"/>
        <v>0</v>
      </c>
      <c r="D43" s="266">
        <f t="shared" ca="1" si="3"/>
        <v>0</v>
      </c>
      <c r="E43" s="362"/>
    </row>
    <row r="44" spans="2:5" s="262" customFormat="1" ht="12" hidden="1" customHeight="1">
      <c r="B44" s="265" t="s">
        <v>5</v>
      </c>
      <c r="C44" s="272">
        <f t="shared" ca="1" si="2"/>
        <v>0</v>
      </c>
      <c r="D44" s="266">
        <f t="shared" ca="1" si="3"/>
        <v>0</v>
      </c>
    </row>
    <row r="45" spans="2:5" s="262" customFormat="1" ht="12" hidden="1" customHeight="1">
      <c r="B45" s="265" t="s">
        <v>6</v>
      </c>
      <c r="C45" s="272">
        <f t="shared" ca="1" si="2"/>
        <v>0</v>
      </c>
      <c r="D45" s="266">
        <f t="shared" ca="1" si="3"/>
        <v>0</v>
      </c>
    </row>
    <row r="46" spans="2:5" s="262" customFormat="1" ht="12" hidden="1" customHeight="1">
      <c r="B46" s="265" t="s">
        <v>7</v>
      </c>
      <c r="C46" s="272">
        <f t="shared" ca="1" si="2"/>
        <v>0</v>
      </c>
      <c r="D46" s="266">
        <f t="shared" ca="1" si="3"/>
        <v>0</v>
      </c>
    </row>
    <row r="47" spans="2:5" s="262" customFormat="1" ht="12" hidden="1" customHeight="1">
      <c r="B47" s="265" t="s">
        <v>8</v>
      </c>
      <c r="C47" s="272">
        <f t="shared" ca="1" si="2"/>
        <v>0</v>
      </c>
      <c r="D47" s="266">
        <f t="shared" ca="1" si="3"/>
        <v>0</v>
      </c>
    </row>
    <row r="48" spans="2:5" s="262" customFormat="1" ht="12" hidden="1" customHeight="1">
      <c r="B48" s="265" t="s">
        <v>9</v>
      </c>
      <c r="C48" s="272">
        <f t="shared" ca="1" si="2"/>
        <v>0</v>
      </c>
      <c r="D48" s="266">
        <f t="shared" ca="1" si="3"/>
        <v>0</v>
      </c>
    </row>
    <row r="49" spans="2:6" s="262" customFormat="1" ht="12" hidden="1" customHeight="1">
      <c r="B49" s="265" t="s">
        <v>10</v>
      </c>
      <c r="C49" s="272">
        <f t="shared" ca="1" si="2"/>
        <v>0</v>
      </c>
      <c r="D49" s="266">
        <f t="shared" ca="1" si="3"/>
        <v>0</v>
      </c>
    </row>
    <row r="50" spans="2:6" s="262" customFormat="1" ht="12" hidden="1" customHeight="1">
      <c r="B50" s="265" t="s">
        <v>11</v>
      </c>
      <c r="C50" s="272">
        <f t="shared" ca="1" si="2"/>
        <v>0</v>
      </c>
      <c r="D50" s="266">
        <f t="shared" ca="1" si="3"/>
        <v>0</v>
      </c>
    </row>
    <row r="51" spans="2:6" s="262" customFormat="1" ht="12" hidden="1" customHeight="1">
      <c r="B51" s="265" t="s">
        <v>12</v>
      </c>
      <c r="C51" s="272">
        <f t="shared" ca="1" si="2"/>
        <v>0</v>
      </c>
      <c r="D51" s="266">
        <f t="shared" ca="1" si="3"/>
        <v>0</v>
      </c>
    </row>
    <row r="52" spans="2:6" s="262" customFormat="1" ht="12" hidden="1" customHeight="1">
      <c r="B52" s="267" t="s">
        <v>245</v>
      </c>
      <c r="C52" s="272">
        <f t="shared" ca="1" si="2"/>
        <v>0</v>
      </c>
      <c r="D52" s="266">
        <f t="shared" ca="1" si="3"/>
        <v>0</v>
      </c>
    </row>
    <row r="53" spans="2:6" s="262" customFormat="1" ht="12" hidden="1" customHeight="1">
      <c r="B53" s="267" t="s">
        <v>436</v>
      </c>
      <c r="C53" s="272">
        <f ca="1">INDIRECT(B53&amp;"!$D$51")+INDIRECT(B53&amp;"!$D$52")+INDIRECT(B53&amp;"!$D$53")+INDIRECT(B53&amp;"!$D$54")+INDIRECT(B53&amp;"!$D$56")+INDIRECT(B53&amp;"!$D$57")+INDIRECT(B53&amp;"!$D$58")+INDIRECT(B53&amp;"!$D$60")</f>
        <v>0</v>
      </c>
      <c r="D53" s="266">
        <f t="shared" ref="D53" ca="1" si="4">INDIRECT(B53&amp;"!$B$51")+INDIRECT(B53&amp;"!$B$52")+INDIRECT(B53&amp;"!$B$53")+INDIRECT(B53&amp;"!$B$54")+INDIRECT(B53&amp;"!$B$56")+INDIRECT(B53&amp;"!$B$57")+INDIRECT(B53&amp;"!$B$58")+INDIRECT(B53&amp;"!$B$60")</f>
        <v>0</v>
      </c>
    </row>
    <row r="54" spans="2:6" s="262" customFormat="1" ht="12" hidden="1" customHeight="1">
      <c r="B54" s="267" t="s">
        <v>437</v>
      </c>
      <c r="C54" s="272">
        <f t="shared" ref="C54" ca="1" si="5">INDIRECT(B54&amp;"!$D$51")+INDIRECT(B54&amp;"!$D$52")+INDIRECT(B54&amp;"!$D$53")+INDIRECT(B54&amp;"!$D$54")+INDIRECT(B54&amp;"!$D$56")+INDIRECT(B54&amp;"!$D$57")+INDIRECT(B54&amp;"!$D$58")+INDIRECT(B54&amp;"!$D$60")</f>
        <v>0</v>
      </c>
      <c r="D54" s="266">
        <f t="shared" ref="D54" ca="1" si="6">INDIRECT(B54&amp;"!$B$51")+INDIRECT(B54&amp;"!$B$52")+INDIRECT(B54&amp;"!$B$53")+INDIRECT(B54&amp;"!$B$54")+INDIRECT(B54&amp;"!$B$56")+INDIRECT(B54&amp;"!$B$57")+INDIRECT(B54&amp;"!$B$58")+INDIRECT(B54&amp;"!$B$60")</f>
        <v>0</v>
      </c>
    </row>
    <row r="55" spans="2:6" s="262" customFormat="1" ht="5" hidden="1" customHeight="1">
      <c r="B55" s="268"/>
      <c r="C55" s="268"/>
      <c r="D55" s="268"/>
    </row>
    <row r="56" spans="2:6" s="262" customFormat="1" ht="12" hidden="1" customHeight="1">
      <c r="B56" s="269" t="str">
        <f>"Abwesenheiten"&amp;" "&amp;$D$2</f>
        <v>Abwesenheiten 2026</v>
      </c>
      <c r="C56" s="269" t="s">
        <v>252</v>
      </c>
      <c r="D56" s="269" t="s">
        <v>253</v>
      </c>
      <c r="E56" s="269" t="s">
        <v>257</v>
      </c>
      <c r="F56" s="269" t="s">
        <v>259</v>
      </c>
    </row>
    <row r="57" spans="2:6" s="262" customFormat="1" ht="12" hidden="1" customHeight="1">
      <c r="B57" s="270" t="s">
        <v>251</v>
      </c>
      <c r="C57" s="272">
        <f>SUM(Jänner:Dezember!$D51)</f>
        <v>0</v>
      </c>
      <c r="D57" s="263">
        <f>SUM(Jänner:Dezember!$B51)</f>
        <v>0</v>
      </c>
      <c r="E57" s="272">
        <f>SUM(Februar:Juli!$D51)</f>
        <v>0</v>
      </c>
      <c r="F57" s="263">
        <f>SUM(Februar:Juli!$B51)</f>
        <v>0</v>
      </c>
    </row>
    <row r="58" spans="2:6" s="262" customFormat="1" ht="12" hidden="1" customHeight="1">
      <c r="B58" s="270" t="s">
        <v>21</v>
      </c>
      <c r="C58" s="272">
        <f>SUM(Jänner:Dezember!$D52)</f>
        <v>0</v>
      </c>
      <c r="D58" s="263">
        <f>SUM(Jänner:Dezember!$B52)</f>
        <v>0</v>
      </c>
      <c r="E58" s="272">
        <f>SUM(Februar:Juli!$D52)</f>
        <v>0</v>
      </c>
      <c r="F58" s="263">
        <f>SUM(Februar:Juli!$B52)</f>
        <v>0</v>
      </c>
    </row>
    <row r="59" spans="2:6" s="262" customFormat="1" ht="12" hidden="1" customHeight="1">
      <c r="B59" s="270" t="s">
        <v>132</v>
      </c>
      <c r="C59" s="272">
        <f>SUM(Jänner:Dezember!$D53)</f>
        <v>0</v>
      </c>
      <c r="D59" s="263">
        <f>SUM(Jänner:Dezember!$B53)</f>
        <v>0</v>
      </c>
      <c r="E59" s="272">
        <f>SUM(Februar:Juli!$D53)</f>
        <v>0</v>
      </c>
      <c r="F59" s="263">
        <f>SUM(Februar:Juli!$B53)</f>
        <v>0</v>
      </c>
    </row>
    <row r="60" spans="2:6" s="262" customFormat="1" ht="12" hidden="1" customHeight="1">
      <c r="B60" s="270" t="s">
        <v>127</v>
      </c>
      <c r="C60" s="272">
        <f>SUM(Jänner:Dezember!$D54)</f>
        <v>0</v>
      </c>
      <c r="D60" s="263">
        <f>SUM(Jänner:Dezember!$B54)</f>
        <v>0</v>
      </c>
      <c r="E60" s="272">
        <f>SUM(Februar:Juli!$D54)</f>
        <v>0</v>
      </c>
      <c r="F60" s="263">
        <f>SUM(Februar:Juli!$B54)</f>
        <v>0</v>
      </c>
    </row>
    <row r="61" spans="2:6" s="262" customFormat="1" ht="12" hidden="1" customHeight="1">
      <c r="B61" s="270" t="s">
        <v>24</v>
      </c>
      <c r="C61" s="272">
        <f>SUM(Jänner:Dezember!$D56)</f>
        <v>0</v>
      </c>
      <c r="D61" s="263">
        <f>SUM(Jänner:Dezember!$B56)</f>
        <v>0</v>
      </c>
      <c r="E61" s="272">
        <f>SUM(Februar:Juli!$D56)</f>
        <v>0</v>
      </c>
      <c r="F61" s="263">
        <f>SUM(Februar:Juli!$B56)</f>
        <v>0</v>
      </c>
    </row>
    <row r="62" spans="2:6" s="262" customFormat="1" ht="12" hidden="1" customHeight="1">
      <c r="B62" s="270" t="s">
        <v>249</v>
      </c>
      <c r="C62" s="272">
        <f>SUM(Jänner:Dezember!$D57)</f>
        <v>0</v>
      </c>
      <c r="D62" s="263">
        <f>SUM(Jänner:Dezember!$B57)</f>
        <v>0</v>
      </c>
      <c r="E62" s="272">
        <f>SUM(Februar:Juli!$D57)</f>
        <v>0</v>
      </c>
      <c r="F62" s="263">
        <f>SUM(Februar:Juli!$B57)</f>
        <v>0</v>
      </c>
    </row>
    <row r="63" spans="2:6" s="262" customFormat="1" ht="12" hidden="1" customHeight="1">
      <c r="B63" s="270" t="s">
        <v>250</v>
      </c>
      <c r="C63" s="272">
        <f>SUM(Jänner:Dezember!$D58)</f>
        <v>0</v>
      </c>
      <c r="D63" s="263">
        <f>SUM(Jänner:Dezember!$B58)</f>
        <v>0</v>
      </c>
      <c r="E63" s="272">
        <f>SUM(Februar:Juli!$D58)</f>
        <v>0</v>
      </c>
      <c r="F63" s="263">
        <f>SUM(Februar:Juli!$B58)</f>
        <v>0</v>
      </c>
    </row>
    <row r="64" spans="2:6" ht="12" hidden="1" customHeight="1">
      <c r="B64" s="270" t="s">
        <v>111</v>
      </c>
      <c r="C64" s="272">
        <f>SUM(Jänner:Dezember!$D60)</f>
        <v>0</v>
      </c>
      <c r="D64" s="263">
        <f>SUM(Jänner:Dezember!$B60)</f>
        <v>0</v>
      </c>
      <c r="E64" s="272">
        <f>SUM(Februar:Juli!$D60)</f>
        <v>0</v>
      </c>
      <c r="F64" s="263">
        <f>SUM(Februar:Juli!$B60)</f>
        <v>0</v>
      </c>
    </row>
    <row r="65" spans="2:6" ht="12" hidden="1" customHeight="1">
      <c r="B65" s="270" t="s">
        <v>256</v>
      </c>
      <c r="C65" s="272"/>
      <c r="D65" s="263">
        <f>SUM(Jänner:Dezember!$B61)</f>
        <v>0</v>
      </c>
      <c r="E65" s="272"/>
      <c r="F65" s="263">
        <f>SUM(Februar:Juli!$B61)</f>
        <v>0</v>
      </c>
    </row>
    <row r="66" spans="2:6" ht="12" hidden="1" customHeight="1">
      <c r="B66" s="269" t="str">
        <f>"Abwesenheiten"&amp;" "&amp;$D$2</f>
        <v>Abwesenheiten 2026</v>
      </c>
      <c r="E66" s="269" t="s">
        <v>258</v>
      </c>
      <c r="F66" s="269" t="s">
        <v>260</v>
      </c>
    </row>
    <row r="67" spans="2:6" ht="12" hidden="1" customHeight="1">
      <c r="B67" s="270" t="s">
        <v>251</v>
      </c>
      <c r="C67" s="273"/>
      <c r="D67" s="273"/>
      <c r="E67" s="272">
        <f>SUM(August:Jänner.!$D51)</f>
        <v>0</v>
      </c>
      <c r="F67" s="263">
        <f>SUM(August:Jänner.!$B51)</f>
        <v>0</v>
      </c>
    </row>
    <row r="68" spans="2:6" ht="12" hidden="1" customHeight="1">
      <c r="B68" s="270" t="s">
        <v>21</v>
      </c>
      <c r="C68" s="273"/>
      <c r="D68" s="273"/>
      <c r="E68" s="272">
        <f>SUM(August:Jänner.!$D52)</f>
        <v>0</v>
      </c>
      <c r="F68" s="263">
        <f>SUM(August:Jänner.!$B52)</f>
        <v>0</v>
      </c>
    </row>
    <row r="69" spans="2:6" ht="12" hidden="1" customHeight="1">
      <c r="B69" s="270" t="s">
        <v>132</v>
      </c>
      <c r="C69" s="273"/>
      <c r="D69" s="273"/>
      <c r="E69" s="272">
        <f>SUM(August:Jänner.!$D53)</f>
        <v>0</v>
      </c>
      <c r="F69" s="263">
        <f>SUM(August:Jänner.!$B53)</f>
        <v>0</v>
      </c>
    </row>
    <row r="70" spans="2:6" ht="12" hidden="1" customHeight="1">
      <c r="B70" s="270" t="s">
        <v>127</v>
      </c>
      <c r="C70" s="273"/>
      <c r="D70" s="273"/>
      <c r="E70" s="272">
        <f>SUM(August:Jänner.!$D54)</f>
        <v>0</v>
      </c>
      <c r="F70" s="263">
        <f>SUM(August:Jänner.!$B54)</f>
        <v>0</v>
      </c>
    </row>
    <row r="71" spans="2:6" ht="12" hidden="1" customHeight="1">
      <c r="B71" s="270" t="s">
        <v>24</v>
      </c>
      <c r="C71" s="273"/>
      <c r="D71" s="273"/>
      <c r="E71" s="272">
        <f>SUM(August:Jänner.!$D56)</f>
        <v>0</v>
      </c>
      <c r="F71" s="263">
        <f>SUM(August:Jänner.!$B56)</f>
        <v>0</v>
      </c>
    </row>
    <row r="72" spans="2:6" ht="12" hidden="1" customHeight="1">
      <c r="B72" s="270" t="s">
        <v>249</v>
      </c>
      <c r="C72" s="273"/>
      <c r="D72" s="273"/>
      <c r="E72" s="272">
        <f>SUM(August:Jänner.!$D57)</f>
        <v>0</v>
      </c>
      <c r="F72" s="263">
        <f>SUM(August:Jänner.!$B57)</f>
        <v>0</v>
      </c>
    </row>
    <row r="73" spans="2:6" ht="12" hidden="1" customHeight="1">
      <c r="B73" s="270" t="s">
        <v>250</v>
      </c>
      <c r="C73" s="273"/>
      <c r="D73" s="273"/>
      <c r="E73" s="272">
        <f>SUM(August:Jänner.!$D58)</f>
        <v>0</v>
      </c>
      <c r="F73" s="263">
        <f>SUM(August:Jänner.!$B58)</f>
        <v>0</v>
      </c>
    </row>
    <row r="74" spans="2:6" ht="12" hidden="1" customHeight="1">
      <c r="B74" s="270" t="s">
        <v>111</v>
      </c>
      <c r="C74" s="273"/>
      <c r="D74" s="273"/>
      <c r="E74" s="272">
        <f>SUM(August:Jänner.!$D60)</f>
        <v>0</v>
      </c>
      <c r="F74" s="263">
        <f>SUM(August:Jänner.!$B60)</f>
        <v>0</v>
      </c>
    </row>
    <row r="75" spans="2:6" ht="12" hidden="1" customHeight="1">
      <c r="B75" s="270" t="s">
        <v>256</v>
      </c>
      <c r="C75" s="273"/>
      <c r="D75" s="273"/>
      <c r="E75" s="272"/>
      <c r="F75" s="263">
        <f>SUM(August:Jänner.!$B61)</f>
        <v>0</v>
      </c>
    </row>
    <row r="76" spans="2:6" ht="5" hidden="1" customHeight="1"/>
    <row r="77" spans="2:6" hidden="1"/>
    <row r="78" spans="2:6">
      <c r="B78" s="471"/>
    </row>
  </sheetData>
  <sheetProtection algorithmName="SHA-512" hashValue="O/BkcjpXvHeL+waaNFwUWn8Ikcyc2tZ6ICoelzXwky0MN+9uQt/ztqw6IrPi+5HxUz5qIbPIlaDDevve1rnMdw==" saltValue="gwHfwEBG5chbVv4qzWHezg==" spinCount="100000" sheet="1" selectLockedCells="1"/>
  <mergeCells count="7">
    <mergeCell ref="D31:E31"/>
    <mergeCell ref="B10:C10"/>
    <mergeCell ref="B12:C12"/>
    <mergeCell ref="D2:E2"/>
    <mergeCell ref="D4:E4"/>
    <mergeCell ref="D6:E6"/>
    <mergeCell ref="D8:E8"/>
  </mergeCells>
  <conditionalFormatting sqref="C15:C29">
    <cfRule type="cellIs" dxfId="547" priority="8" operator="greaterThan">
      <formula>48</formula>
    </cfRule>
  </conditionalFormatting>
  <conditionalFormatting sqref="D21">
    <cfRule type="cellIs" dxfId="546" priority="7" operator="greaterThan">
      <formula>48</formula>
    </cfRule>
  </conditionalFormatting>
  <conditionalFormatting sqref="D27">
    <cfRule type="cellIs" dxfId="545" priority="3" operator="greaterThan">
      <formula>48</formula>
    </cfRule>
  </conditionalFormatting>
  <conditionalFormatting sqref="F21">
    <cfRule type="containsBlanks" dxfId="544" priority="1">
      <formula>LEN(TRIM(F21))=0</formula>
    </cfRule>
    <cfRule type="cellIs" dxfId="543" priority="2" operator="greaterThan">
      <formula>33</formula>
    </cfRule>
  </conditionalFormatting>
  <conditionalFormatting sqref="F27">
    <cfRule type="containsBlanks" dxfId="542" priority="5">
      <formula>LEN(TRIM(F27))=0</formula>
    </cfRule>
    <cfRule type="cellIs" dxfId="541" priority="6" operator="greaterThan">
      <formula>33</formula>
    </cfRule>
  </conditionalFormatting>
  <pageMargins left="0" right="0" top="0" bottom="0" header="0" footer="0"/>
  <pageSetup paperSize="9" orientation="landscape" horizontalDpi="4294967293" verticalDpi="1200" r:id="rId1"/>
  <ignoredErrors>
    <ignoredError sqref="F15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3000000}">
          <x14:formula1>
            <xm:f>Gehalt!$A$4:$A$22</xm:f>
          </x14:formula1>
          <xm:sqref>E10</xm:sqref>
        </x14:dataValidation>
        <x14:dataValidation type="list" allowBlank="1" showInputMessage="1" showErrorMessage="1" xr:uid="{00000000-0002-0000-0200-000001000000}">
          <x14:formula1>
            <xm:f>Gehalt!$K$32:$K$41</xm:f>
          </x14:formula1>
          <xm:sqref>D8:E8</xm:sqref>
        </x14:dataValidation>
        <x14:dataValidation type="list" allowBlank="1" showInputMessage="1" showErrorMessage="1" xr:uid="{7F5DF537-FD52-41C7-8B0D-B4BBAA62E01B}">
          <x14:formula1>
            <xm:f>Datenblatt!$J$22:$J$26</xm:f>
          </x14:formula1>
          <xm:sqref>E12</xm:sqref>
        </x14:dataValidation>
        <x14:dataValidation type="list" allowBlank="1" showInputMessage="1" showErrorMessage="1" xr:uid="{00000000-0002-0000-0200-000000000000}">
          <x14:formula1>
            <xm:f>Datenblatt!$J$2:$J$17</xm:f>
          </x14:formula1>
          <xm:sqref>E32:E37</xm:sqref>
        </x14:dataValidation>
        <x14:dataValidation type="list" allowBlank="1" showInputMessage="1" showErrorMessage="1" xr:uid="{1640CA9F-8C4E-4213-9BAB-DF5EA618D622}">
          <x14:formula1>
            <xm:f>Datenblatt!$K$2:$K$81</xm:f>
          </x14:formula1>
          <xm:sqref>D12</xm:sqref>
        </x14:dataValidation>
        <x14:dataValidation type="list" allowBlank="1" showInputMessage="1" showErrorMessage="1" xr:uid="{00000000-0002-0000-0200-000002000000}">
          <x14:formula1>
            <xm:f>Datenblatt!$P$2:$P$61</xm:f>
          </x14:formula1>
          <xm:sqref>D10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13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/>
    <row r="2" spans="1:34" ht="8" customHeight="1"/>
    <row r="3" spans="1:34" s="55" customFormat="1" ht="17" customHeight="1">
      <c r="A3" s="417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3"/>
      <c r="M3" s="434"/>
      <c r="N3" s="435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IF(SUM(N14:O44,L13:L44,AA51:AD51,AA52:AB52)=0,Datenblatt!J100,SUM(N14:O44,L13:L44,AA51:AD51,AA52:AB52,AH51:AH52))</f>
        <v>211.20000000000002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130"/>
      <c r="B8" s="551">
        <f>DATE($D$8,1,1)</f>
        <v>46023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160</v>
      </c>
      <c r="O8" s="555"/>
      <c r="P8" s="556"/>
      <c r="Q8" s="491">
        <f ca="1">IF($L$50="","",SUM($L$50:$L$59))</f>
        <v>5374.6299999999992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18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5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46022</v>
      </c>
      <c r="C13" s="138">
        <f>C14-1</f>
        <v>46022</v>
      </c>
      <c r="D13" s="179"/>
      <c r="E13" s="178"/>
      <c r="F13" s="135"/>
      <c r="G13" s="135"/>
      <c r="H13" s="135"/>
      <c r="I13" s="135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246"/>
      <c r="R13" s="136"/>
      <c r="S13" s="137"/>
      <c r="T13" s="194"/>
      <c r="U13" s="195"/>
      <c r="V13" s="196"/>
      <c r="W13" s="196"/>
      <c r="X13" s="241"/>
      <c r="Y13" s="241"/>
      <c r="Z13" s="102" t="str">
        <f t="shared" ref="Z13:Z44" si="1">IF(E13="ND",25,IF(E13="ND12,5",12.5,""))</f>
        <v/>
      </c>
      <c r="AA13" s="195"/>
      <c r="AB13" s="197"/>
      <c r="AC13" s="197"/>
      <c r="AD13" s="197"/>
      <c r="AE13" s="197"/>
      <c r="AF13" s="103"/>
      <c r="AG13" s="274"/>
      <c r="AH13" s="279"/>
    </row>
    <row r="14" spans="1:34" ht="13" customHeight="1">
      <c r="A14" s="84" t="str">
        <f>IF(ISERROR(VLOOKUP(C14,Datenblatt!$B$84:$B$97,1,FALSE)),"","Ft")</f>
        <v>Ft</v>
      </c>
      <c r="B14" s="80">
        <f t="shared" si="0"/>
        <v>46023</v>
      </c>
      <c r="C14" s="81">
        <f>DATE($D$8,MONTH(B$8),1)</f>
        <v>46023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 t="shared" ref="T14:T44" si="4">IF(K14="",0,K14)</f>
        <v>0</v>
      </c>
      <c r="U14" s="105"/>
      <c r="V14" s="103"/>
      <c r="W14" s="103"/>
      <c r="X14" s="242"/>
      <c r="Y14" s="242"/>
      <c r="Z14" s="102" t="str">
        <f t="shared" si="1"/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274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46024</v>
      </c>
      <c r="C15" s="82">
        <f t="shared" ref="C15:C41" si="5">C14+1</f>
        <v>46024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si="4"/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si="1"/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6">IF(OR(E15="ND",E15="ND12,5"),2,0)</f>
        <v>0</v>
      </c>
      <c r="AD15" s="203">
        <f t="shared" ref="AD15:AD44" si="7">IF(OR(E14="ND",E14="ND12,5"),6,0)</f>
        <v>0</v>
      </c>
      <c r="AE15" s="203">
        <f t="shared" ref="AE15:AE44" si="8">IF(AND(E14="ND",AA15&gt;=2),1,IF(AND(E14="ND12,5",AA15&gt;=2),0.5,0))</f>
        <v>0</v>
      </c>
      <c r="AF15" s="103">
        <f t="shared" ref="AF15:AF44" si="9">IF(OR(D15="ND",D15="ND12,5"),2-X15,0)</f>
        <v>0</v>
      </c>
      <c r="AG15" s="274">
        <f t="shared" ref="AG15:AG44" si="10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46025</v>
      </c>
      <c r="C16" s="82">
        <f t="shared" si="5"/>
        <v>46025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4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1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6"/>
        <v>0</v>
      </c>
      <c r="AD16" s="203">
        <f t="shared" si="7"/>
        <v>0</v>
      </c>
      <c r="AE16" s="203">
        <f t="shared" si="8"/>
        <v>0</v>
      </c>
      <c r="AF16" s="103">
        <f t="shared" si="9"/>
        <v>0</v>
      </c>
      <c r="AG16" s="274">
        <f t="shared" si="10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46026</v>
      </c>
      <c r="C17" s="82">
        <f t="shared" si="5"/>
        <v>46026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>
        <f t="shared" si="3"/>
        <v>0</v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4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1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6"/>
        <v>0</v>
      </c>
      <c r="AD17" s="203">
        <f t="shared" si="7"/>
        <v>0</v>
      </c>
      <c r="AE17" s="203">
        <f t="shared" si="8"/>
        <v>0</v>
      </c>
      <c r="AF17" s="103">
        <f t="shared" si="9"/>
        <v>0</v>
      </c>
      <c r="AG17" s="274">
        <f t="shared" si="10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46027</v>
      </c>
      <c r="C18" s="82">
        <f t="shared" si="5"/>
        <v>46027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4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1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6"/>
        <v>0</v>
      </c>
      <c r="AD18" s="203">
        <f t="shared" si="7"/>
        <v>0</v>
      </c>
      <c r="AE18" s="203">
        <f t="shared" si="8"/>
        <v>0</v>
      </c>
      <c r="AF18" s="103">
        <f t="shared" si="9"/>
        <v>0</v>
      </c>
      <c r="AG18" s="274">
        <f t="shared" si="10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>Ft</v>
      </c>
      <c r="B19" s="80">
        <f t="shared" si="0"/>
        <v>46028</v>
      </c>
      <c r="C19" s="82">
        <f t="shared" si="5"/>
        <v>46028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>
        <f t="shared" si="3"/>
        <v>0</v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4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1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6"/>
        <v>0</v>
      </c>
      <c r="AD19" s="203">
        <f t="shared" si="7"/>
        <v>0</v>
      </c>
      <c r="AE19" s="203">
        <f t="shared" si="8"/>
        <v>0</v>
      </c>
      <c r="AF19" s="103">
        <f t="shared" si="9"/>
        <v>0</v>
      </c>
      <c r="AG19" s="274">
        <f t="shared" si="10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46029</v>
      </c>
      <c r="C20" s="82">
        <f t="shared" si="5"/>
        <v>46029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4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1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6"/>
        <v>0</v>
      </c>
      <c r="AD20" s="203">
        <f t="shared" si="7"/>
        <v>0</v>
      </c>
      <c r="AE20" s="203">
        <f t="shared" si="8"/>
        <v>0</v>
      </c>
      <c r="AF20" s="103">
        <f t="shared" si="9"/>
        <v>0</v>
      </c>
      <c r="AG20" s="274">
        <f t="shared" si="10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46030</v>
      </c>
      <c r="C21" s="82">
        <f t="shared" si="5"/>
        <v>46030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4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1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6"/>
        <v>0</v>
      </c>
      <c r="AD21" s="203">
        <f t="shared" si="7"/>
        <v>0</v>
      </c>
      <c r="AE21" s="203">
        <f t="shared" si="8"/>
        <v>0</v>
      </c>
      <c r="AF21" s="103">
        <f t="shared" si="9"/>
        <v>0</v>
      </c>
      <c r="AG21" s="274">
        <f t="shared" si="10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46031</v>
      </c>
      <c r="C22" s="82">
        <f t="shared" si="5"/>
        <v>46031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4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1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6"/>
        <v>0</v>
      </c>
      <c r="AD22" s="203">
        <f t="shared" si="7"/>
        <v>0</v>
      </c>
      <c r="AE22" s="203">
        <f t="shared" si="8"/>
        <v>0</v>
      </c>
      <c r="AF22" s="103">
        <f t="shared" si="9"/>
        <v>0</v>
      </c>
      <c r="AG22" s="274">
        <f t="shared" si="10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46032</v>
      </c>
      <c r="C23" s="82">
        <f t="shared" si="5"/>
        <v>46032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4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1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6"/>
        <v>0</v>
      </c>
      <c r="AD23" s="203">
        <f t="shared" si="7"/>
        <v>0</v>
      </c>
      <c r="AE23" s="203">
        <f t="shared" si="8"/>
        <v>0</v>
      </c>
      <c r="AF23" s="103">
        <f t="shared" si="9"/>
        <v>0</v>
      </c>
      <c r="AG23" s="274">
        <f t="shared" si="10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46033</v>
      </c>
      <c r="C24" s="82">
        <f t="shared" si="5"/>
        <v>46033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>
        <f t="shared" si="3"/>
        <v>0</v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4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1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6"/>
        <v>0</v>
      </c>
      <c r="AD24" s="203">
        <f t="shared" si="7"/>
        <v>0</v>
      </c>
      <c r="AE24" s="203">
        <f t="shared" si="8"/>
        <v>0</v>
      </c>
      <c r="AF24" s="103">
        <f t="shared" si="9"/>
        <v>0</v>
      </c>
      <c r="AG24" s="274">
        <f t="shared" si="10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46034</v>
      </c>
      <c r="C25" s="82">
        <f t="shared" si="5"/>
        <v>46034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4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1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6"/>
        <v>0</v>
      </c>
      <c r="AD25" s="203">
        <f t="shared" si="7"/>
        <v>0</v>
      </c>
      <c r="AE25" s="203">
        <f t="shared" si="8"/>
        <v>0</v>
      </c>
      <c r="AF25" s="103">
        <f t="shared" si="9"/>
        <v>0</v>
      </c>
      <c r="AG25" s="274">
        <f t="shared" si="10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46035</v>
      </c>
      <c r="C26" s="82">
        <f t="shared" si="5"/>
        <v>46035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4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1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6"/>
        <v>0</v>
      </c>
      <c r="AD26" s="203">
        <f t="shared" si="7"/>
        <v>0</v>
      </c>
      <c r="AE26" s="203">
        <f t="shared" si="8"/>
        <v>0</v>
      </c>
      <c r="AF26" s="103">
        <f t="shared" si="9"/>
        <v>0</v>
      </c>
      <c r="AG26" s="274">
        <f t="shared" si="10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46036</v>
      </c>
      <c r="C27" s="82">
        <f t="shared" si="5"/>
        <v>46036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4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1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6"/>
        <v>0</v>
      </c>
      <c r="AD27" s="203">
        <f t="shared" si="7"/>
        <v>0</v>
      </c>
      <c r="AE27" s="203">
        <f t="shared" si="8"/>
        <v>0</v>
      </c>
      <c r="AF27" s="103">
        <f t="shared" si="9"/>
        <v>0</v>
      </c>
      <c r="AG27" s="274">
        <f t="shared" si="10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46037</v>
      </c>
      <c r="C28" s="82">
        <f t="shared" si="5"/>
        <v>46037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4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1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6"/>
        <v>0</v>
      </c>
      <c r="AD28" s="203">
        <f t="shared" si="7"/>
        <v>0</v>
      </c>
      <c r="AE28" s="203">
        <f t="shared" si="8"/>
        <v>0</v>
      </c>
      <c r="AF28" s="103">
        <f t="shared" si="9"/>
        <v>0</v>
      </c>
      <c r="AG28" s="274">
        <f t="shared" si="10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46038</v>
      </c>
      <c r="C29" s="82">
        <f t="shared" si="5"/>
        <v>46038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4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1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6"/>
        <v>0</v>
      </c>
      <c r="AD29" s="203">
        <f t="shared" si="7"/>
        <v>0</v>
      </c>
      <c r="AE29" s="203">
        <f t="shared" si="8"/>
        <v>0</v>
      </c>
      <c r="AF29" s="103">
        <f t="shared" si="9"/>
        <v>0</v>
      </c>
      <c r="AG29" s="274">
        <f t="shared" si="10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46039</v>
      </c>
      <c r="C30" s="82">
        <f t="shared" si="5"/>
        <v>46039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4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1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6"/>
        <v>0</v>
      </c>
      <c r="AD30" s="203">
        <f t="shared" si="7"/>
        <v>0</v>
      </c>
      <c r="AE30" s="203">
        <f t="shared" si="8"/>
        <v>0</v>
      </c>
      <c r="AF30" s="103">
        <f t="shared" si="9"/>
        <v>0</v>
      </c>
      <c r="AG30" s="274">
        <f t="shared" si="10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46040</v>
      </c>
      <c r="C31" s="82">
        <f t="shared" si="5"/>
        <v>46040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>
        <f t="shared" si="3"/>
        <v>0</v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4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1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6"/>
        <v>0</v>
      </c>
      <c r="AD31" s="203">
        <f t="shared" si="7"/>
        <v>0</v>
      </c>
      <c r="AE31" s="203">
        <f t="shared" si="8"/>
        <v>0</v>
      </c>
      <c r="AF31" s="103">
        <f t="shared" si="9"/>
        <v>0</v>
      </c>
      <c r="AG31" s="274">
        <f t="shared" si="10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46041</v>
      </c>
      <c r="C32" s="82">
        <f t="shared" si="5"/>
        <v>46041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4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1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6"/>
        <v>0</v>
      </c>
      <c r="AD32" s="203">
        <f t="shared" si="7"/>
        <v>0</v>
      </c>
      <c r="AE32" s="203">
        <f t="shared" si="8"/>
        <v>0</v>
      </c>
      <c r="AF32" s="103">
        <f t="shared" si="9"/>
        <v>0</v>
      </c>
      <c r="AG32" s="274">
        <f t="shared" si="10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46042</v>
      </c>
      <c r="C33" s="82">
        <f t="shared" si="5"/>
        <v>46042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4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1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6"/>
        <v>0</v>
      </c>
      <c r="AD33" s="203">
        <f t="shared" si="7"/>
        <v>0</v>
      </c>
      <c r="AE33" s="203">
        <f t="shared" si="8"/>
        <v>0</v>
      </c>
      <c r="AF33" s="103">
        <f t="shared" si="9"/>
        <v>0</v>
      </c>
      <c r="AG33" s="274">
        <f t="shared" si="10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46043</v>
      </c>
      <c r="C34" s="82">
        <f t="shared" si="5"/>
        <v>46043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4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1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6"/>
        <v>0</v>
      </c>
      <c r="AD34" s="203">
        <f t="shared" si="7"/>
        <v>0</v>
      </c>
      <c r="AE34" s="203">
        <f t="shared" si="8"/>
        <v>0</v>
      </c>
      <c r="AF34" s="103">
        <f t="shared" si="9"/>
        <v>0</v>
      </c>
      <c r="AG34" s="274">
        <f t="shared" si="10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46044</v>
      </c>
      <c r="C35" s="82">
        <f t="shared" si="5"/>
        <v>46044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4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1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6"/>
        <v>0</v>
      </c>
      <c r="AD35" s="203">
        <f t="shared" si="7"/>
        <v>0</v>
      </c>
      <c r="AE35" s="203">
        <f t="shared" si="8"/>
        <v>0</v>
      </c>
      <c r="AF35" s="103">
        <f t="shared" si="9"/>
        <v>0</v>
      </c>
      <c r="AG35" s="274">
        <f t="shared" si="10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46045</v>
      </c>
      <c r="C36" s="82">
        <f t="shared" si="5"/>
        <v>46045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4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1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6"/>
        <v>0</v>
      </c>
      <c r="AD36" s="203">
        <f t="shared" si="7"/>
        <v>0</v>
      </c>
      <c r="AE36" s="203">
        <f t="shared" si="8"/>
        <v>0</v>
      </c>
      <c r="AF36" s="103">
        <f t="shared" si="9"/>
        <v>0</v>
      </c>
      <c r="AG36" s="274">
        <f t="shared" si="10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46046</v>
      </c>
      <c r="C37" s="82">
        <f t="shared" si="5"/>
        <v>46046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4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1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6"/>
        <v>0</v>
      </c>
      <c r="AD37" s="203">
        <f t="shared" si="7"/>
        <v>0</v>
      </c>
      <c r="AE37" s="203">
        <f t="shared" si="8"/>
        <v>0</v>
      </c>
      <c r="AF37" s="103">
        <f t="shared" si="9"/>
        <v>0</v>
      </c>
      <c r="AG37" s="274">
        <f t="shared" si="10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46047</v>
      </c>
      <c r="C38" s="82">
        <f t="shared" si="5"/>
        <v>46047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>
        <f t="shared" si="3"/>
        <v>0</v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4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1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6"/>
        <v>0</v>
      </c>
      <c r="AD38" s="203">
        <f t="shared" si="7"/>
        <v>0</v>
      </c>
      <c r="AE38" s="203">
        <f t="shared" si="8"/>
        <v>0</v>
      </c>
      <c r="AF38" s="103">
        <f t="shared" si="9"/>
        <v>0</v>
      </c>
      <c r="AG38" s="274">
        <f t="shared" si="10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46048</v>
      </c>
      <c r="C39" s="82">
        <f t="shared" si="5"/>
        <v>46048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4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1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6"/>
        <v>0</v>
      </c>
      <c r="AD39" s="203">
        <f t="shared" si="7"/>
        <v>0</v>
      </c>
      <c r="AE39" s="203">
        <f t="shared" si="8"/>
        <v>0</v>
      </c>
      <c r="AF39" s="103">
        <f t="shared" si="9"/>
        <v>0</v>
      </c>
      <c r="AG39" s="274">
        <f t="shared" si="10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46049</v>
      </c>
      <c r="C40" s="82">
        <f t="shared" si="5"/>
        <v>46049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4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1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6"/>
        <v>0</v>
      </c>
      <c r="AD40" s="203">
        <f t="shared" si="7"/>
        <v>0</v>
      </c>
      <c r="AE40" s="203">
        <f t="shared" si="8"/>
        <v>0</v>
      </c>
      <c r="AF40" s="103">
        <f t="shared" si="9"/>
        <v>0</v>
      </c>
      <c r="AG40" s="274">
        <f t="shared" si="10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46050</v>
      </c>
      <c r="C41" s="82">
        <f t="shared" si="5"/>
        <v>46050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4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1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6"/>
        <v>0</v>
      </c>
      <c r="AD41" s="203">
        <f t="shared" si="7"/>
        <v>0</v>
      </c>
      <c r="AE41" s="203">
        <f t="shared" si="8"/>
        <v>0</v>
      </c>
      <c r="AF41" s="103">
        <f t="shared" si="9"/>
        <v>0</v>
      </c>
      <c r="AG41" s="274">
        <f t="shared" si="10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46051</v>
      </c>
      <c r="C42" s="82">
        <f>C41+1</f>
        <v>46051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4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1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6"/>
        <v>0</v>
      </c>
      <c r="AD42" s="203">
        <f t="shared" si="7"/>
        <v>0</v>
      </c>
      <c r="AE42" s="203">
        <f t="shared" si="8"/>
        <v>0</v>
      </c>
      <c r="AF42" s="103">
        <f t="shared" si="9"/>
        <v>0</v>
      </c>
      <c r="AG42" s="274">
        <f t="shared" si="10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46052</v>
      </c>
      <c r="C43" s="83">
        <f>C42+1</f>
        <v>46052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4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1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6"/>
        <v>0</v>
      </c>
      <c r="AD43" s="203">
        <f t="shared" si="7"/>
        <v>0</v>
      </c>
      <c r="AE43" s="203">
        <f t="shared" si="8"/>
        <v>0</v>
      </c>
      <c r="AF43" s="103">
        <f t="shared" si="9"/>
        <v>0</v>
      </c>
      <c r="AG43" s="274">
        <f t="shared" si="10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46053</v>
      </c>
      <c r="C44" s="150">
        <f>C43+1</f>
        <v>46053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4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1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6"/>
        <v>0</v>
      </c>
      <c r="AD44" s="203">
        <f t="shared" si="7"/>
        <v>0</v>
      </c>
      <c r="AE44" s="203">
        <f t="shared" si="8"/>
        <v>0</v>
      </c>
      <c r="AF44" s="103">
        <f t="shared" si="9"/>
        <v>0</v>
      </c>
      <c r="AG44" s="274">
        <f t="shared" si="10"/>
        <v>0</v>
      </c>
      <c r="AH44" s="103">
        <f>IF(E44="",0,VLOOKUP(E44,Datenblatt!$E$2:$G$28,3,FALSE))</f>
        <v>0</v>
      </c>
    </row>
    <row r="45" spans="1:34" ht="13" customHeight="1" thickBot="1">
      <c r="A45" s="84" t="str">
        <f>IF(ISERROR(VLOOKUP(C45,Datenblatt!$B$84:$B$97,1,FALSE)),"","Ft")</f>
        <v/>
      </c>
      <c r="B45" s="143"/>
      <c r="C45" s="140"/>
      <c r="D45" s="140"/>
      <c r="E45" s="135"/>
      <c r="F45" s="135"/>
      <c r="G45" s="135"/>
      <c r="H45" s="135"/>
      <c r="I45" s="135"/>
      <c r="J45" s="144">
        <f>SUM(J14:J44)</f>
        <v>0</v>
      </c>
      <c r="K45" s="202">
        <f>SUM(K14:K44)</f>
        <v>0</v>
      </c>
      <c r="L45" s="183" t="str">
        <f>IF(D44="ND",9,IF(D44="ND12,5",8.5,"0"))</f>
        <v>0</v>
      </c>
      <c r="M45" s="183" t="str">
        <f>IF(D44="ND",9,IF(D44="ND12,5",8.5,"0"))</f>
        <v>0</v>
      </c>
      <c r="N45" s="207">
        <f t="shared" ref="N45" si="11">SUM(N14:N44)</f>
        <v>0</v>
      </c>
      <c r="O45" s="207">
        <f>SUM(O14:O44)</f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6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0"/>
      <c r="M46" s="67"/>
      <c r="N46" s="67"/>
      <c r="O46" s="184"/>
      <c r="P46" s="185"/>
      <c r="Q46" s="19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 ht="13" customHeight="1">
      <c r="A47" s="84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292</v>
      </c>
      <c r="M47" s="608"/>
      <c r="N47" s="608"/>
      <c r="O47" s="609"/>
      <c r="P47" s="190" t="s">
        <v>145</v>
      </c>
      <c r="Q47" s="361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 ht="13" customHeight="1">
      <c r="A48" s="84"/>
      <c r="B48" s="180" t="str">
        <f>"Verrechnung von Sonderzahlungen, Überstunden, Nachtgutstunden und Nachtdiensten erfolgt im Folgemonat"&amp;" "&amp;Start!$B$16</f>
        <v>Verrechnung von Sonderzahlungen, Überstunden, Nachtgutstunden und Nachtdiensten erfolgt im Folgemonat Februar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293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5374.6299999999992</v>
      </c>
      <c r="N50" s="540" t="str">
        <f>"Monatsprofil"&amp;" "&amp;Start!$B$15</f>
        <v>Monatsprofil Jänner</v>
      </c>
      <c r="O50" s="541"/>
      <c r="P50" s="542"/>
      <c r="R50" s="84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IF(OR(Start!$D$8=Gehalt!$K$37,Start!$D$8=Gehalt!$K$39,Start!$D$8=Gehalt!$K$41),Gehalt!$C$29,0)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("&amp;""&amp;Gehalt!$C$25&amp;""&amp;"€/h)"</f>
        <v>9545 Nachtdienstpauschale Gesamt (30,47€/h)</v>
      </c>
      <c r="H52" s="141"/>
      <c r="I52" s="141"/>
      <c r="J52" s="141"/>
      <c r="K52" s="245">
        <f>SUM($AF$14:$AG$44)</f>
        <v>0</v>
      </c>
      <c r="L52" s="215">
        <f>$K$52*Gehalt!$C$25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("&amp;""&amp;Gehalt!$C$26&amp;""&amp;"€/h)"</f>
        <v>9547 Sonn- und Feiertagszulage (19,15€/h)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$K$53*Gehalt!$C$26</f>
        <v>0</v>
      </c>
      <c r="N53" s="538" t="s">
        <v>237</v>
      </c>
      <c r="O53" s="539"/>
      <c r="P53" s="318">
        <f>VLOOKUP($B$8,Datenblatt!$A$100:$I$112,3,FALSE)</f>
        <v>2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9</v>
      </c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20</v>
      </c>
      <c r="Q55" s="282"/>
      <c r="R55" s="282"/>
      <c r="S55" s="282"/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IF(Start!$C$35-SUM(Start!$E$33:$E$37,Start!$E$15)*2&lt;=0,0,Start!$C$35-SUM(Start!$E$33:$E$37,Start!$E$15)*2)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22</v>
      </c>
      <c r="Q56" s="282"/>
      <c r="R56" s="282"/>
      <c r="S56" s="282"/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$K$57*Gehalt!$C$28</f>
        <v>0</v>
      </c>
      <c r="N57" s="538" t="s">
        <v>235</v>
      </c>
      <c r="O57" s="539"/>
      <c r="P57" s="318">
        <f>VLOOKUP($B$8,Datenblatt!$A$100:$I$112,6,FALSE)</f>
        <v>160</v>
      </c>
      <c r="Q57" s="282"/>
      <c r="R57" s="282"/>
      <c r="S57" s="282"/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IF($J$58="ja",Gehalt!$C$27,0)</f>
        <v>0</v>
      </c>
      <c r="N58" s="546" t="str">
        <f>"Stundenkonto Monatsende"&amp;" "&amp;Start!$B$15</f>
        <v>Stundenkonto Monatsende Jänner</v>
      </c>
      <c r="O58" s="547"/>
      <c r="P58" s="548"/>
      <c r="Q58" s="282"/>
      <c r="R58" s="282"/>
      <c r="S58" s="85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Q59" s="282"/>
      <c r="R59" s="282"/>
      <c r="S59" s="8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46.29</v>
      </c>
      <c r="N60" s="538" t="s">
        <v>233</v>
      </c>
      <c r="O60" s="539"/>
      <c r="P60" s="318">
        <f>Start!$C$32+SUM(Jänner!$D$51)</f>
        <v>0</v>
      </c>
      <c r="Q60" s="282"/>
      <c r="R60" s="282"/>
      <c r="S60" s="85"/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423">
        <f>COUNTIF($D$14:$E$44,"WR")</f>
        <v>0</v>
      </c>
      <c r="C61" s="424" t="s">
        <v>125</v>
      </c>
      <c r="D61" s="425"/>
      <c r="E61" s="426"/>
      <c r="G61" s="326" t="s">
        <v>394</v>
      </c>
      <c r="H61" s="324"/>
      <c r="I61" s="323"/>
      <c r="J61" s="323"/>
      <c r="K61" s="323"/>
      <c r="L61" s="322">
        <f>IF($Q$6="",0,ROUNDDOWN((($Q$6-35)/173*2),2))</f>
        <v>61.72</v>
      </c>
      <c r="N61" s="538" t="s">
        <v>234</v>
      </c>
      <c r="O61" s="539"/>
      <c r="P61" s="319">
        <f>Start!$C$33+SUM(Jänner!$D$52)+SUM(Jänner!$E$52)</f>
        <v>0</v>
      </c>
      <c r="Q61" s="282"/>
      <c r="R61" s="282"/>
      <c r="S61" s="85"/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Start!$C$34+SUM(Jänner!$D$53)+SUM(Jänner!$E$53)</f>
        <v>0</v>
      </c>
      <c r="Q62" s="282"/>
      <c r="R62" s="282"/>
      <c r="S62" s="85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Start!$C$35+SUM(Jänner!$D$54)+SUM(Jänner!$E$54)-SUM(Jänner!$K$56)</f>
        <v>0</v>
      </c>
      <c r="Q63" s="282"/>
      <c r="R63" s="282"/>
      <c r="S63" s="85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282"/>
      <c r="R64" s="282"/>
      <c r="S64" s="85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M72" s="283"/>
      <c r="N72" s="532" t="s">
        <v>383</v>
      </c>
      <c r="O72" s="533"/>
      <c r="P72" s="399">
        <f>SUM(Jänner!$B$58)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160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  <c r="L77" s="130"/>
      <c r="M77" s="130"/>
      <c r="N77" s="130"/>
      <c r="O77" s="130"/>
      <c r="P77" s="130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  <c r="L78" s="130"/>
      <c r="M78" s="130"/>
      <c r="N78" s="130"/>
      <c r="O78" s="130"/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  <c r="L79" s="130"/>
      <c r="M79" s="130"/>
      <c r="N79" s="130"/>
      <c r="O79" s="130"/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  <c r="L80" s="130"/>
      <c r="M80" s="130"/>
      <c r="N80" s="130"/>
      <c r="O80" s="130"/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g5aJSV+RH7MEQdggGilGdndY6UJ3KhJnBHg/DpCfd2qVR0o2ol4c6v8wt3Lbrk8OPZuZ6R+FH8+96U7AnQdCLw==" saltValue="cmC1CPhDDob+TOKO8YnaSw==" spinCount="100000" sheet="1" selectLockedCells="1"/>
  <mergeCells count="63">
    <mergeCell ref="N68:O68"/>
    <mergeCell ref="Q9:Q11"/>
    <mergeCell ref="R9:R11"/>
    <mergeCell ref="L48:O48"/>
    <mergeCell ref="N61:O61"/>
    <mergeCell ref="N62:O62"/>
    <mergeCell ref="L47:O47"/>
    <mergeCell ref="N66:O66"/>
    <mergeCell ref="N63:O63"/>
    <mergeCell ref="N64:P65"/>
    <mergeCell ref="AG10:AG11"/>
    <mergeCell ref="P9:P11"/>
    <mergeCell ref="O9:O11"/>
    <mergeCell ref="B9:C11"/>
    <mergeCell ref="D9:D11"/>
    <mergeCell ref="E9:E11"/>
    <mergeCell ref="N9:N11"/>
    <mergeCell ref="H9:I10"/>
    <mergeCell ref="F9:G10"/>
    <mergeCell ref="M9:M11"/>
    <mergeCell ref="J9:J11"/>
    <mergeCell ref="K9:K11"/>
    <mergeCell ref="AF10:AF11"/>
    <mergeCell ref="U10:Y10"/>
    <mergeCell ref="AA10:AE10"/>
    <mergeCell ref="S9:S11"/>
    <mergeCell ref="B3:J4"/>
    <mergeCell ref="B7:C7"/>
    <mergeCell ref="E7:G7"/>
    <mergeCell ref="K5:M5"/>
    <mergeCell ref="N6:P6"/>
    <mergeCell ref="N7:P7"/>
    <mergeCell ref="H7:J7"/>
    <mergeCell ref="K6:M6"/>
    <mergeCell ref="K7:M7"/>
    <mergeCell ref="N5:P5"/>
    <mergeCell ref="B5:E5"/>
    <mergeCell ref="B6:E6"/>
    <mergeCell ref="F5:J5"/>
    <mergeCell ref="F6:J6"/>
    <mergeCell ref="B8:C8"/>
    <mergeCell ref="K8:M8"/>
    <mergeCell ref="N8:P8"/>
    <mergeCell ref="L9:L11"/>
    <mergeCell ref="N13:O13"/>
    <mergeCell ref="E8:G8"/>
    <mergeCell ref="H8:J8"/>
    <mergeCell ref="N70:O70"/>
    <mergeCell ref="N71:O71"/>
    <mergeCell ref="N72:O72"/>
    <mergeCell ref="C50:D50"/>
    <mergeCell ref="G54:I54"/>
    <mergeCell ref="N60:O60"/>
    <mergeCell ref="N50:P51"/>
    <mergeCell ref="N58:P59"/>
    <mergeCell ref="N52:O52"/>
    <mergeCell ref="N53:O53"/>
    <mergeCell ref="N54:O54"/>
    <mergeCell ref="N57:O57"/>
    <mergeCell ref="N55:O55"/>
    <mergeCell ref="N56:O56"/>
    <mergeCell ref="N69:O69"/>
    <mergeCell ref="N67:O67"/>
  </mergeCells>
  <conditionalFormatting sqref="A13:A45">
    <cfRule type="cellIs" dxfId="540" priority="1" operator="equal">
      <formula>"HFT"</formula>
    </cfRule>
    <cfRule type="cellIs" dxfId="539" priority="94" operator="equal">
      <formula>"FT"</formula>
    </cfRule>
  </conditionalFormatting>
  <conditionalFormatting sqref="B13:C44">
    <cfRule type="expression" dxfId="537" priority="95">
      <formula>WEEKDAY($C13,2)&gt;5</formula>
    </cfRule>
  </conditionalFormatting>
  <conditionalFormatting sqref="E8">
    <cfRule type="cellIs" dxfId="536" priority="32" operator="greaterThan">
      <formula>48</formula>
    </cfRule>
  </conditionalFormatting>
  <conditionalFormatting sqref="I47:K47">
    <cfRule type="cellIs" dxfId="535" priority="48" operator="equal">
      <formula>"Wochenarbeitszeit überschritten"</formula>
    </cfRule>
  </conditionalFormatting>
  <conditionalFormatting sqref="J45:P45">
    <cfRule type="cellIs" dxfId="534" priority="57" operator="equal">
      <formula>0</formula>
    </cfRule>
  </conditionalFormatting>
  <conditionalFormatting sqref="K8">
    <cfRule type="cellIs" dxfId="533" priority="81" operator="lessThan">
      <formula>$N$8</formula>
    </cfRule>
    <cfRule type="cellIs" dxfId="532" priority="80" operator="greaterThan">
      <formula>$N$8</formula>
    </cfRule>
    <cfRule type="cellIs" dxfId="531" priority="79" operator="equal">
      <formula>$N$8</formula>
    </cfRule>
  </conditionalFormatting>
  <conditionalFormatting sqref="K14:K44">
    <cfRule type="cellIs" dxfId="530" priority="50" operator="lessThanOrEqual">
      <formula>0</formula>
    </cfRule>
    <cfRule type="cellIs" dxfId="529" priority="51" operator="greaterThan">
      <formula>0</formula>
    </cfRule>
  </conditionalFormatting>
  <conditionalFormatting sqref="K45">
    <cfRule type="cellIs" dxfId="528" priority="78" operator="lessThan">
      <formula>0</formula>
    </cfRule>
  </conditionalFormatting>
  <conditionalFormatting sqref="N14:O44">
    <cfRule type="cellIs" dxfId="527" priority="63" operator="equal">
      <formula>0</formula>
    </cfRule>
  </conditionalFormatting>
  <conditionalFormatting sqref="P13:P44">
    <cfRule type="cellIs" dxfId="526" priority="56" operator="equal">
      <formula>0</formula>
    </cfRule>
  </conditionalFormatting>
  <conditionalFormatting sqref="P60:P63">
    <cfRule type="cellIs" dxfId="525" priority="6" operator="lessThan">
      <formula>0</formula>
    </cfRule>
  </conditionalFormatting>
  <conditionalFormatting sqref="Q47">
    <cfRule type="cellIs" dxfId="524" priority="64" operator="equal">
      <formula>0</formula>
    </cfRule>
  </conditionalFormatting>
  <conditionalFormatting sqref="T51:W51">
    <cfRule type="cellIs" dxfId="523" priority="91" operator="equal">
      <formula>0</formula>
    </cfRule>
  </conditionalFormatting>
  <conditionalFormatting sqref="T14:Y44">
    <cfRule type="cellIs" dxfId="522" priority="7" operator="equal">
      <formula>0</formula>
    </cfRule>
  </conditionalFormatting>
  <conditionalFormatting sqref="T45:AE45">
    <cfRule type="cellIs" dxfId="521" priority="61" operator="equal">
      <formula>0</formula>
    </cfRule>
  </conditionalFormatting>
  <conditionalFormatting sqref="U51:Y53">
    <cfRule type="cellIs" dxfId="520" priority="8" operator="equal">
      <formula>0</formula>
    </cfRule>
  </conditionalFormatting>
  <conditionalFormatting sqref="V13:Y13">
    <cfRule type="cellIs" dxfId="519" priority="69" operator="equal">
      <formula>0</formula>
    </cfRule>
  </conditionalFormatting>
  <conditionalFormatting sqref="W52">
    <cfRule type="cellIs" dxfId="518" priority="31" operator="equal">
      <formula>0</formula>
    </cfRule>
  </conditionalFormatting>
  <conditionalFormatting sqref="Z13:Z44">
    <cfRule type="cellIs" dxfId="517" priority="71" operator="equal">
      <formula>0</formula>
    </cfRule>
  </conditionalFormatting>
  <conditionalFormatting sqref="Z51:AC51">
    <cfRule type="cellIs" dxfId="516" priority="72" operator="equal">
      <formula>0</formula>
    </cfRule>
  </conditionalFormatting>
  <conditionalFormatting sqref="AA14:AE44">
    <cfRule type="cellIs" dxfId="515" priority="33" operator="equal">
      <formula>0</formula>
    </cfRule>
  </conditionalFormatting>
  <conditionalFormatting sqref="AA51:AE52">
    <cfRule type="cellIs" dxfId="514" priority="60" operator="equal">
      <formula>0</formula>
    </cfRule>
  </conditionalFormatting>
  <conditionalFormatting sqref="AC13:AE13">
    <cfRule type="cellIs" dxfId="513" priority="42" operator="equal">
      <formula>0</formula>
    </cfRule>
  </conditionalFormatting>
  <conditionalFormatting sqref="AF13:AG44">
    <cfRule type="cellIs" dxfId="512" priority="20" operator="equal">
      <formula>0</formula>
    </cfRule>
  </conditionalFormatting>
  <conditionalFormatting sqref="AG51:AH51">
    <cfRule type="cellIs" dxfId="511" priority="5" operator="equal">
      <formula>0</formula>
    </cfRule>
  </conditionalFormatting>
  <conditionalFormatting sqref="AH14:AH44 AH51:AH52">
    <cfRule type="cellIs" dxfId="510" priority="3" operator="equal">
      <formula>0</formula>
    </cfRule>
  </conditionalFormatting>
  <dataValidations count="4">
    <dataValidation type="list" allowBlank="1" showInputMessage="1" showErrorMessage="1" error="Die Eingabe ist unzulässig_x000a_Bitte Drop Down Felder verwenden" sqref="F14:G44" xr:uid="{00000000-0002-0000-0300-000001000000}">
      <formula1>Zeiten1</formula1>
    </dataValidation>
    <dataValidation type="list" allowBlank="1" showInputMessage="1" showErrorMessage="1" sqref="J14:J44" xr:uid="{00000000-0002-0000-0300-000002000000}">
      <formula1>AbwesenheitenStunden</formula1>
    </dataValidation>
    <dataValidation type="decimal" allowBlank="1" showInputMessage="1" showErrorMessage="1" error="Die ausgewählte Stundenanzahl steht nicht zur Verfügung!" sqref="J54" xr:uid="{00000000-0002-0000-0300-000003000000}">
      <formula1>0</formula1>
      <formula2>K54</formula2>
    </dataValidation>
    <dataValidation type="list" allowBlank="1" showInputMessage="1" showErrorMessage="1" sqref="H14:I44" xr:uid="{47D0D4E1-3D3B-40E7-A6E8-EA573C65FA1B}">
      <formula1>Zeiten2</formula1>
    </dataValidation>
  </dataValidations>
  <pageMargins left="0" right="0" top="0" bottom="0" header="0" footer="0"/>
  <pageSetup paperSize="9" orientation="landscape" horizontalDpi="4294967293" verticalDpi="1200" r:id="rId1"/>
  <ignoredErrors>
    <ignoredError sqref="U52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7" id="{C8286F44-AD15-404D-96B3-011E74D04950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300-000007000000}">
          <x14:formula1>
            <xm:f>Datenblatt!$D$58:$D$59</xm:f>
          </x14:formula1>
          <xm:sqref>J58 P47</xm:sqref>
        </x14:dataValidation>
        <x14:dataValidation type="list" allowBlank="1" showInputMessage="1" showErrorMessage="1" xr:uid="{00000000-0002-0000-0300-000009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6DE4555D-8E49-47E7-B8AF-C1BE43095ACD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72CCDC77-A500-49DB-93A4-AAFE991690B3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749C7275-B8DB-479F-9181-FE8D246C0353}">
          <x14:formula1>
            <xm:f>Datenblatt!$D$52:$D$53</xm:f>
          </x14:formula1>
          <xm:sqref>P48</xm:sqref>
        </x14:dataValidation>
        <x14:dataValidation type="list" allowBlank="1" showInputMessage="1" showErrorMessage="1" error="Die Eingabe ist unzulässig_x000a_Bitte Drop Down Felder verwenden" xr:uid="{00000000-0002-0000-0300-000008000000}">
          <x14:formula1>
            <xm:f>Datenblatt!$I$19:$I$20</xm:f>
          </x14:formula1>
          <xm:sqref>E13</xm:sqref>
        </x14:dataValidation>
        <x14:dataValidation type="list" allowBlank="1" showInputMessage="1" showErrorMessage="1" error="Die Eingabe ist unzulässig_x000a_Bitte Drop Down Felder verwenden" xr:uid="{905380BD-AF6D-4F67-8887-E50777B5C06A}">
          <x14:formula1>
            <xm:f>Datenblatt!$A$19:$A$20</xm:f>
          </x14:formula1>
          <xm:sqref>D13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618">
        <f>IF(SUM(N14:O41,L13:L41,AA51:AD51,AA52:AB52)=0,Datenblatt!J101,SUM(N14:O41,L13:L41,AA51:AD51,AA52:AB52,AH51:AH52))</f>
        <v>192</v>
      </c>
      <c r="L6" s="619"/>
      <c r="M6" s="620"/>
      <c r="N6" s="574">
        <f>COUNTIF(D14:E41,"ND")+COUNTIF(D14:E41,"ND12,5")</f>
        <v>0</v>
      </c>
      <c r="O6" s="574"/>
      <c r="P6" s="575"/>
      <c r="Q6" s="491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DATE($D$8,2,1)</f>
        <v>46054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SUM(M13:M41)</f>
        <v>0</v>
      </c>
      <c r="L8" s="554"/>
      <c r="M8" s="554"/>
      <c r="N8" s="555">
        <f>VLOOKUP($B$8,Datenblatt!A100:F123,6,FALSE)</f>
        <v>160</v>
      </c>
      <c r="O8" s="555"/>
      <c r="P8" s="556"/>
      <c r="Q8" s="491">
        <f ca="1">IF($L$50="","",SUM($L$50:$L$59))</f>
        <v>5374.6299999999992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1" si="0">C13</f>
        <v>46053</v>
      </c>
      <c r="C13" s="139">
        <f>C14-1</f>
        <v>46053</v>
      </c>
      <c r="D13" s="143" t="str">
        <f>IF(Jänner!D$44="","",Jänner!D$44)</f>
        <v/>
      </c>
      <c r="E13" s="140" t="str">
        <f>IF(Jänner!E$44="","",Jänner!E$44)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46054</v>
      </c>
      <c r="C14" s="81">
        <f>DATE($D$8,MONTH(B$8),1)</f>
        <v>46054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0" si="2">IF(AND(F14="",G14=""),"",IF(OR(F14&gt;G14,AND(F14="",G14&gt;0),F14=G14),"ungültig",IF(OR(WEEKDAY(B14,2)=7,A14="Ft"),0,(G14-F14)*24)))</f>
        <v/>
      </c>
      <c r="O14" s="200">
        <f t="shared" ref="O14:O41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5">
        <f>IF(D14="",IF($P$45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$45="Freizeit",(-M14-J14+IF(ISNUMBER(N14),(N14*1.5),0)+IF(ISNUMBER(O14),(O14*2),0)+IF(OR(E14="ND",E14="ND12,5"),2,0)),(-M14-J14)),IF($P$45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46055</v>
      </c>
      <c r="C15" s="82">
        <f t="shared" ref="C15:C41" si="4">C14+1</f>
        <v>46055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$45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$45="Freizeit",(-M15-J15+IF(ISNUMBER(N15),(N15*1.5),0)+IF(ISNUMBER(O15),(O15*2),0)+IF(OR(E15="ND",E15="ND12,5"),2,0)),(-M15-J15)),IF($P$45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1" si="5">IF(K15="",0,K15)</f>
        <v>0</v>
      </c>
      <c r="U15" s="105">
        <f t="array" ref="U15">IF(T14=0,0,IF(AND((ROW(T14)=MATCH(TRUE,($T$1:$T$41)&gt;0,0)),(D14="ND")),IF(T14&lt;3,T14,3),IF(AND(ROW(T14)=MATCH(TRUE,($T$1:$T$41)&gt;0,0),D14="ND12,5"),IF(T14&lt;2.5,T14,2.5),IF(D14="ND12,5",2.5,(T14-V14-W14)))))</f>
        <v>0</v>
      </c>
      <c r="V15" s="103">
        <f t="array" ref="V15">IF(T15=0,0,IF(AND((ROW(T15)=MATCH(TRUE,($T$1:$T$41)&gt;0,0)),(D15="ND")),IF(AND(T15&gt;11,T15&lt;=25),T15-11,0),IF(AND(ROW(T15)=MATCH(TRUE,($T$1:$T$41)&gt;0,0),D15="ND12,5"),IF(AND(T15&gt;10.5,T15&lt;=12.5),T15-10.5,0),IF(D15="ND12,5",2,IF(T15&lt;14,T15,14)))))</f>
        <v>0</v>
      </c>
      <c r="W15" s="103">
        <f t="array" ref="W15">IF(T15=0,0,IF(AND((ROW(T15)=MATCH(TRUE,($T$1:$T$41)&gt;0,0)),(D15="ND")),IF(AND(T15&gt;3,T15&lt;11),T15-3,IF(T15&gt;=11,8,0)),IF(AND((ROW(T15)=MATCH(TRUE,($T$1:$T$41)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IF(T15=0,0,IF((AND((ROW(T15)=MATCH(TRUE,($T$1:$T$41)&gt;0,0)))),IF(W15&gt;=6,W15-6,0),IF(W15&gt;=2,2,W15)))</f>
        <v>0</v>
      </c>
      <c r="Y15" s="242">
        <f t="array" ref="Y15">IF(T14=0,0,(IF((AND((ROW(T14)=MATCH(TRUE,($T$1:$T$41)&gt;0,0)))),IF(W14&gt;=6,6,W14),IF(W14&gt;=2,W14-2,0))))</f>
        <v>0</v>
      </c>
      <c r="Z15" s="102" t="str">
        <f t="shared" ref="Z15:Z41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1" si="7">IF(OR(E15="ND",E15="ND12,5"),2,0)</f>
        <v>0</v>
      </c>
      <c r="AD15" s="203">
        <f t="shared" ref="AD15:AD41" si="8">IF(OR(E14="ND",E14="ND12,5"),6,0)</f>
        <v>0</v>
      </c>
      <c r="AE15" s="203">
        <f t="shared" ref="AE15:AE41" si="9">IF(AND(E14="ND",AA15&gt;=2),1,IF(AND(E14="ND12,5",AA15&gt;=2),0.5,0))</f>
        <v>0</v>
      </c>
      <c r="AF15" s="103">
        <f t="shared" ref="AF15:AF41" si="10">IF(OR(D15="ND",D15="ND12,5"),2-X15,0)</f>
        <v>0</v>
      </c>
      <c r="AG15" s="103">
        <f t="shared" ref="AG15:AG41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46056</v>
      </c>
      <c r="C16" s="82">
        <f t="shared" si="4"/>
        <v>46056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$45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$45="Freizeit",(-M16-J16+IF(ISNUMBER(N16),(N16*1.5),0)+IF(ISNUMBER(O16),(O16*2),0)+IF(OR(E16="ND",E16="ND12,5"),2,0)),(-M16-J16)),IF($P$45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IF(T15=0,0,IF(AND((ROW(T15)=MATCH(TRUE,($T$1:$T$41)&gt;0,0)),(D15="ND")),IF(T15&lt;3,T15,3),IF(AND(ROW(T15)=MATCH(TRUE,($T$1:$T$41)&gt;0,0),D15="ND12,5"),IF(T15&lt;2.5,T15,2.5),IF(D15="ND12,5",2.5,(T15-V15-W15)))))</f>
        <v>0</v>
      </c>
      <c r="V16" s="103">
        <f t="array" ref="V16">IF(T16=0,0,IF(AND((ROW(T16)=MATCH(TRUE,($T$1:$T$41)&gt;0,0)),(D16="ND")),IF(AND(T16&gt;11,T16&lt;=25),T16-11,0),IF(AND(ROW(T16)=MATCH(TRUE,($T$1:$T$41)&gt;0,0),D16="ND12,5"),IF(AND(T16&gt;10.5,T16&lt;=12.5),T16-10.5,0),IF(D16="ND12,5",2,IF(T16&lt;14,T16,14)))))</f>
        <v>0</v>
      </c>
      <c r="W16" s="103">
        <f t="array" ref="W16">IF(T16=0,0,IF(AND((ROW(T16)=MATCH(TRUE,($T$1:$T$41)&gt;0,0)),(D16="ND")),IF(AND(T16&gt;3,T16&lt;11),T16-3,IF(T16&gt;=11,8,0)),IF(AND((ROW(T16)=MATCH(TRUE,($T$1:$T$41)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IF(T16=0,0,IF((AND((ROW(T16)=MATCH(TRUE,($T$1:$T$41)&gt;0,0)))),IF(W16&gt;=6,W16-6,0),IF(W16&gt;=2,2,W16)))</f>
        <v>0</v>
      </c>
      <c r="Y16" s="242">
        <f t="array" ref="Y16">IF(T15=0,0,(IF((AND((ROW(T15)=MATCH(TRUE,($T$1:$T$41)&gt;0,0)))),IF(W15&gt;=6,6,W15),IF(W15&gt;=2,W15-2,0))))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46057</v>
      </c>
      <c r="C17" s="82">
        <f t="shared" si="4"/>
        <v>46057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$45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$45="Freizeit",(-M17-J17+IF(ISNUMBER(N17),(N17*1.5),0)+IF(ISNUMBER(O17),(O17*2),0)+IF(OR(E17="ND",E17="ND12,5"),2,0)),(-M17-J17)),IF($P$45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IF(T16=0,0,IF(AND((ROW(T16)=MATCH(TRUE,($T$1:$T$41)&gt;0,0)),(D16="ND")),IF(T16&lt;3,T16,3),IF(AND(ROW(T16)=MATCH(TRUE,($T$1:$T$41)&gt;0,0),D16="ND12,5"),IF(T16&lt;2.5,T16,2.5),IF(D16="ND12,5",2.5,(T16-V16-W16)))))</f>
        <v>0</v>
      </c>
      <c r="V17" s="103">
        <f t="array" ref="V17">IF(T17=0,0,IF(AND((ROW(T17)=MATCH(TRUE,($T$1:$T$41)&gt;0,0)),(D17="ND")),IF(AND(T17&gt;11,T17&lt;=25),T17-11,0),IF(AND(ROW(T17)=MATCH(TRUE,($T$1:$T$41)&gt;0,0),D17="ND12,5"),IF(AND(T17&gt;10.5,T17&lt;=12.5),T17-10.5,0),IF(D17="ND12,5",2,IF(T17&lt;14,T17,14)))))</f>
        <v>0</v>
      </c>
      <c r="W17" s="103">
        <f t="array" ref="W17">IF(T17=0,0,IF(AND((ROW(T17)=MATCH(TRUE,($T$1:$T$41)&gt;0,0)),(D17="ND")),IF(AND(T17&gt;3,T17&lt;11),T17-3,IF(T17&gt;=11,8,0)),IF(AND((ROW(T17)=MATCH(TRUE,($T$1:$T$41)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IF(T17=0,0,IF((AND((ROW(T17)=MATCH(TRUE,($T$1:$T$41)&gt;0,0)))),IF(W17&gt;=6,W17-6,0),IF(W17&gt;=2,2,W17)))</f>
        <v>0</v>
      </c>
      <c r="Y17" s="242">
        <f t="array" ref="Y17">IF(T16=0,0,(IF((AND((ROW(T16)=MATCH(TRUE,($T$1:$T$41)&gt;0,0)))),IF(W16&gt;=6,6,W16),IF(W16&gt;=2,W16-2,0))))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46058</v>
      </c>
      <c r="C18" s="82">
        <f t="shared" si="4"/>
        <v>46058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$45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$45="Freizeit",(-M18-J18+IF(ISNUMBER(N18),(N18*1.5),0)+IF(ISNUMBER(O18),(O18*2),0)+IF(OR(E18="ND",E18="ND12,5"),2,0)),(-M18-J18)),IF($P$45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IF(T17=0,0,IF(AND((ROW(T17)=MATCH(TRUE,($T$1:$T$41)&gt;0,0)),(D17="ND")),IF(T17&lt;3,T17,3),IF(AND(ROW(T17)=MATCH(TRUE,($T$1:$T$41)&gt;0,0),D17="ND12,5"),IF(T17&lt;2.5,T17,2.5),IF(D17="ND12,5",2.5,(T17-V17-W17)))))</f>
        <v>0</v>
      </c>
      <c r="V18" s="103">
        <f t="array" ref="V18">IF(T18=0,0,IF(AND((ROW(T18)=MATCH(TRUE,($T$1:$T$41)&gt;0,0)),(D18="ND")),IF(AND(T18&gt;11,T18&lt;=25),T18-11,0),IF(AND(ROW(T18)=MATCH(TRUE,($T$1:$T$41)&gt;0,0),D18="ND12,5"),IF(AND(T18&gt;10.5,T18&lt;=12.5),T18-10.5,0),IF(D18="ND12,5",2,IF(T18&lt;14,T18,14)))))</f>
        <v>0</v>
      </c>
      <c r="W18" s="103">
        <f t="array" ref="W18">IF(T18=0,0,IF(AND((ROW(T18)=MATCH(TRUE,($T$1:$T$41)&gt;0,0)),(D18="ND")),IF(AND(T18&gt;3,T18&lt;11),T18-3,IF(T18&gt;=11,8,0)),IF(AND((ROW(T18)=MATCH(TRUE,($T$1:$T$41)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IF(T18=0,0,IF((AND((ROW(T18)=MATCH(TRUE,($T$1:$T$41)&gt;0,0)))),IF(W18&gt;=6,W18-6,0),IF(W18&gt;=2,2,W18)))</f>
        <v>0</v>
      </c>
      <c r="Y18" s="242">
        <f t="array" ref="Y18">IF(T17=0,0,(IF((AND((ROW(T17)=MATCH(TRUE,($T$1:$T$41)&gt;0,0)))),IF(W17&gt;=6,6,W17),IF(W17&gt;=2,W17-2,0))))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46059</v>
      </c>
      <c r="C19" s="82">
        <f t="shared" si="4"/>
        <v>46059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$45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$45="Freizeit",(-M19-J19+IF(ISNUMBER(N19),(N19*1.5),0)+IF(ISNUMBER(O19),(O19*2),0)+IF(OR(E19="ND",E19="ND12,5"),2,0)),(-M19-J19)),IF($P$45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IF(T18=0,0,IF(AND((ROW(T18)=MATCH(TRUE,($T$1:$T$41)&gt;0,0)),(D18="ND")),IF(T18&lt;3,T18,3),IF(AND(ROW(T18)=MATCH(TRUE,($T$1:$T$41)&gt;0,0),D18="ND12,5"),IF(T18&lt;2.5,T18,2.5),IF(D18="ND12,5",2.5,(T18-V18-W18)))))</f>
        <v>0</v>
      </c>
      <c r="V19" s="103">
        <f t="array" ref="V19">IF(T19=0,0,IF(AND((ROW(T19)=MATCH(TRUE,($T$1:$T$41)&gt;0,0)),(D19="ND")),IF(AND(T19&gt;11,T19&lt;=25),T19-11,0),IF(AND(ROW(T19)=MATCH(TRUE,($T$1:$T$41)&gt;0,0),D19="ND12,5"),IF(AND(T19&gt;10.5,T19&lt;=12.5),T19-10.5,0),IF(D19="ND12,5",2,IF(T19&lt;14,T19,14)))))</f>
        <v>0</v>
      </c>
      <c r="W19" s="103">
        <f t="array" ref="W19">IF(T19=0,0,IF(AND((ROW(T19)=MATCH(TRUE,($T$1:$T$41)&gt;0,0)),(D19="ND")),IF(AND(T19&gt;3,T19&lt;11),T19-3,IF(T19&gt;=11,8,0)),IF(AND((ROW(T19)=MATCH(TRUE,($T$1:$T$41)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IF(T19=0,0,IF((AND((ROW(T19)=MATCH(TRUE,($T$1:$T$41)&gt;0,0)))),IF(W19&gt;=6,W19-6,0),IF(W19&gt;=2,2,W19)))</f>
        <v>0</v>
      </c>
      <c r="Y19" s="242">
        <f t="array" ref="Y19">IF(T18=0,0,(IF((AND((ROW(T18)=MATCH(TRUE,($T$1:$T$41)&gt;0,0)))),IF(W18&gt;=6,6,W18),IF(W18&gt;=2,W18-2,0))))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46060</v>
      </c>
      <c r="C20" s="82">
        <f t="shared" si="4"/>
        <v>46060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$45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$45="Freizeit",(-M20-J20+IF(ISNUMBER(N20),(N20*1.5),0)+IF(ISNUMBER(O20),(O20*2),0)+IF(OR(E20="ND",E20="ND12,5"),2,0)),(-M20-J20)),IF($P$45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IF(T19=0,0,IF(AND((ROW(T19)=MATCH(TRUE,($T$1:$T$41)&gt;0,0)),(D19="ND")),IF(T19&lt;3,T19,3),IF(AND(ROW(T19)=MATCH(TRUE,($T$1:$T$41)&gt;0,0),D19="ND12,5"),IF(T19&lt;2.5,T19,2.5),IF(D19="ND12,5",2.5,(T19-V19-W19)))))</f>
        <v>0</v>
      </c>
      <c r="V20" s="103">
        <f t="array" ref="V20">IF(T20=0,0,IF(AND((ROW(T20)=MATCH(TRUE,($T$1:$T$41)&gt;0,0)),(D20="ND")),IF(AND(T20&gt;11,T20&lt;=25),T20-11,0),IF(AND(ROW(T20)=MATCH(TRUE,($T$1:$T$41)&gt;0,0),D20="ND12,5"),IF(AND(T20&gt;10.5,T20&lt;=12.5),T20-10.5,0),IF(D20="ND12,5",2,IF(T20&lt;14,T20,14)))))</f>
        <v>0</v>
      </c>
      <c r="W20" s="103">
        <f t="array" ref="W20">IF(T20=0,0,IF(AND((ROW(T20)=MATCH(TRUE,($T$1:$T$41)&gt;0,0)),(D20="ND")),IF(AND(T20&gt;3,T20&lt;11),T20-3,IF(T20&gt;=11,8,0)),IF(AND((ROW(T20)=MATCH(TRUE,($T$1:$T$41)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IF(T20=0,0,IF((AND((ROW(T20)=MATCH(TRUE,($T$1:$T$41)&gt;0,0)))),IF(W20&gt;=6,W20-6,0),IF(W20&gt;=2,2,W20)))</f>
        <v>0</v>
      </c>
      <c r="Y20" s="242">
        <f t="array" ref="Y20">IF(T19=0,0,(IF((AND((ROW(T19)=MATCH(TRUE,($T$1:$T$41)&gt;0,0)))),IF(W19&gt;=6,6,W19),IF(W19&gt;=2,W19-2,0))))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46061</v>
      </c>
      <c r="C21" s="82">
        <f t="shared" si="4"/>
        <v>46061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>
        <f t="shared" si="3"/>
        <v>0</v>
      </c>
      <c r="P21" s="175">
        <f>IF(D21="",IF($P$45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$45="Freizeit",(-M21-J21+IF(ISNUMBER(N21),(N21*1.5),0)+IF(ISNUMBER(O21),(O21*2),0)+IF(OR(E21="ND",E21="ND12,5"),2,0)),(-M21-J21)),IF($P$45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IF(T20=0,0,IF(AND((ROW(T20)=MATCH(TRUE,($T$1:$T$41)&gt;0,0)),(D20="ND")),IF(T20&lt;3,T20,3),IF(AND(ROW(T20)=MATCH(TRUE,($T$1:$T$41)&gt;0,0),D20="ND12,5"),IF(T20&lt;2.5,T20,2.5),IF(D20="ND12,5",2.5,(T20-V20-W20)))))</f>
        <v>0</v>
      </c>
      <c r="V21" s="103">
        <f t="array" ref="V21">IF(T21=0,0,IF(AND((ROW(T21)=MATCH(TRUE,($T$1:$T$41)&gt;0,0)),(D21="ND")),IF(AND(T21&gt;11,T21&lt;=25),T21-11,0),IF(AND(ROW(T21)=MATCH(TRUE,($T$1:$T$41)&gt;0,0),D21="ND12,5"),IF(AND(T21&gt;10.5,T21&lt;=12.5),T21-10.5,0),IF(D21="ND12,5",2,IF(T21&lt;14,T21,14)))))</f>
        <v>0</v>
      </c>
      <c r="W21" s="103">
        <f t="array" ref="W21">IF(T21=0,0,IF(AND((ROW(T21)=MATCH(TRUE,($T$1:$T$41)&gt;0,0)),(D21="ND")),IF(AND(T21&gt;3,T21&lt;11),T21-3,IF(T21&gt;=11,8,0)),IF(AND((ROW(T21)=MATCH(TRUE,($T$1:$T$41)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IF(T21=0,0,IF((AND((ROW(T21)=MATCH(TRUE,($T$1:$T$41)&gt;0,0)))),IF(W21&gt;=6,W21-6,0),IF(W21&gt;=2,2,W21)))</f>
        <v>0</v>
      </c>
      <c r="Y21" s="242">
        <f t="array" ref="Y21">IF(T20=0,0,(IF((AND((ROW(T20)=MATCH(TRUE,($T$1:$T$41)&gt;0,0)))),IF(W20&gt;=6,6,W20),IF(W20&gt;=2,W20-2,0))))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46062</v>
      </c>
      <c r="C22" s="82">
        <f t="shared" si="4"/>
        <v>46062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$45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$45="Freizeit",(-M22-J22+IF(ISNUMBER(N22),(N22*1.5),0)+IF(ISNUMBER(O22),(O22*2),0)+IF(OR(E22="ND",E22="ND12,5"),2,0)),(-M22-J22)),IF($P$45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IF(T21=0,0,IF(AND((ROW(T21)=MATCH(TRUE,($T$1:$T$41)&gt;0,0)),(D21="ND")),IF(T21&lt;3,T21,3),IF(AND(ROW(T21)=MATCH(TRUE,($T$1:$T$41)&gt;0,0),D21="ND12,5"),IF(T21&lt;2.5,T21,2.5),IF(D21="ND12,5",2.5,(T21-V21-W21)))))</f>
        <v>0</v>
      </c>
      <c r="V22" s="103">
        <f t="array" ref="V22">IF(T22=0,0,IF(AND((ROW(T22)=MATCH(TRUE,($T$1:$T$41)&gt;0,0)),(D22="ND")),IF(AND(T22&gt;11,T22&lt;=25),T22-11,0),IF(AND(ROW(T22)=MATCH(TRUE,($T$1:$T$41)&gt;0,0),D22="ND12,5"),IF(AND(T22&gt;10.5,T22&lt;=12.5),T22-10.5,0),IF(D22="ND12,5",2,IF(T22&lt;14,T22,14)))))</f>
        <v>0</v>
      </c>
      <c r="W22" s="103">
        <f t="array" ref="W22">IF(T22=0,0,IF(AND((ROW(T22)=MATCH(TRUE,($T$1:$T$41)&gt;0,0)),(D22="ND")),IF(AND(T22&gt;3,T22&lt;11),T22-3,IF(T22&gt;=11,8,0)),IF(AND((ROW(T22)=MATCH(TRUE,($T$1:$T$41)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IF(T22=0,0,IF((AND((ROW(T22)=MATCH(TRUE,($T$1:$T$41)&gt;0,0)))),IF(W22&gt;=6,W22-6,0),IF(W22&gt;=2,2,W22)))</f>
        <v>0</v>
      </c>
      <c r="Y22" s="242">
        <f t="array" ref="Y22">IF(T21=0,0,(IF((AND((ROW(T21)=MATCH(TRUE,($T$1:$T$41)&gt;0,0)))),IF(W21&gt;=6,6,W21),IF(W21&gt;=2,W21-2,0))))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46063</v>
      </c>
      <c r="C23" s="82">
        <f t="shared" si="4"/>
        <v>46063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$45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$45="Freizeit",(-M23-J23+IF(ISNUMBER(N23),(N23*1.5),0)+IF(ISNUMBER(O23),(O23*2),0)+IF(OR(E23="ND",E23="ND12,5"),2,0)),(-M23-J23)),IF($P$45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IF(T22=0,0,IF(AND((ROW(T22)=MATCH(TRUE,($T$1:$T$41)&gt;0,0)),(D22="ND")),IF(T22&lt;3,T22,3),IF(AND(ROW(T22)=MATCH(TRUE,($T$1:$T$41)&gt;0,0),D22="ND12,5"),IF(T22&lt;2.5,T22,2.5),IF(D22="ND12,5",2.5,(T22-V22-W22)))))</f>
        <v>0</v>
      </c>
      <c r="V23" s="103">
        <f t="array" ref="V23">IF(T23=0,0,IF(AND((ROW(T23)=MATCH(TRUE,($T$1:$T$41)&gt;0,0)),(D23="ND")),IF(AND(T23&gt;11,T23&lt;=25),T23-11,0),IF(AND(ROW(T23)=MATCH(TRUE,($T$1:$T$41)&gt;0,0),D23="ND12,5"),IF(AND(T23&gt;10.5,T23&lt;=12.5),T23-10.5,0),IF(D23="ND12,5",2,IF(T23&lt;14,T23,14)))))</f>
        <v>0</v>
      </c>
      <c r="W23" s="103">
        <f t="array" ref="W23">IF(T23=0,0,IF(AND((ROW(T23)=MATCH(TRUE,($T$1:$T$41)&gt;0,0)),(D23="ND")),IF(AND(T23&gt;3,T23&lt;11),T23-3,IF(T23&gt;=11,8,0)),IF(AND((ROW(T23)=MATCH(TRUE,($T$1:$T$41)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IF(T23=0,0,IF((AND((ROW(T23)=MATCH(TRUE,($T$1:$T$41)&gt;0,0)))),IF(W23&gt;=6,W23-6,0),IF(W23&gt;=2,2,W23)))</f>
        <v>0</v>
      </c>
      <c r="Y23" s="242">
        <f t="array" ref="Y23">IF(T22=0,0,(IF((AND((ROW(T22)=MATCH(TRUE,($T$1:$T$41)&gt;0,0)))),IF(W22&gt;=6,6,W22),IF(W22&gt;=2,W22-2,0))))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46064</v>
      </c>
      <c r="C24" s="82">
        <f t="shared" si="4"/>
        <v>46064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$45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$45="Freizeit",(-M24-J24+IF(ISNUMBER(N24),(N24*1.5),0)+IF(ISNUMBER(O24),(O24*2),0)+IF(OR(E24="ND",E24="ND12,5"),2,0)),(-M24-J24)),IF($P$45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IF(T23=0,0,IF(AND((ROW(T23)=MATCH(TRUE,($T$1:$T$41)&gt;0,0)),(D23="ND")),IF(T23&lt;3,T23,3),IF(AND(ROW(T23)=MATCH(TRUE,($T$1:$T$41)&gt;0,0),D23="ND12,5"),IF(T23&lt;2.5,T23,2.5),IF(D23="ND12,5",2.5,(T23-V23-W23)))))</f>
        <v>0</v>
      </c>
      <c r="V24" s="103">
        <f t="array" ref="V24">IF(T24=0,0,IF(AND((ROW(T24)=MATCH(TRUE,($T$1:$T$41)&gt;0,0)),(D24="ND")),IF(AND(T24&gt;11,T24&lt;=25),T24-11,0),IF(AND(ROW(T24)=MATCH(TRUE,($T$1:$T$41)&gt;0,0),D24="ND12,5"),IF(AND(T24&gt;10.5,T24&lt;=12.5),T24-10.5,0),IF(D24="ND12,5",2,IF(T24&lt;14,T24,14)))))</f>
        <v>0</v>
      </c>
      <c r="W24" s="103">
        <f t="array" ref="W24">IF(T24=0,0,IF(AND((ROW(T24)=MATCH(TRUE,($T$1:$T$41)&gt;0,0)),(D24="ND")),IF(AND(T24&gt;3,T24&lt;11),T24-3,IF(T24&gt;=11,8,0)),IF(AND((ROW(T24)=MATCH(TRUE,($T$1:$T$41)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IF(T24=0,0,IF((AND((ROW(T24)=MATCH(TRUE,($T$1:$T$41)&gt;0,0)))),IF(W24&gt;=6,W24-6,0),IF(W24&gt;=2,2,W24)))</f>
        <v>0</v>
      </c>
      <c r="Y24" s="242">
        <f t="array" ref="Y24">IF(T23=0,0,(IF((AND((ROW(T23)=MATCH(TRUE,($T$1:$T$41)&gt;0,0)))),IF(W23&gt;=6,6,W23),IF(W23&gt;=2,W23-2,0))))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46065</v>
      </c>
      <c r="C25" s="82">
        <f t="shared" si="4"/>
        <v>46065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$45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$45="Freizeit",(-M25-J25+IF(ISNUMBER(N25),(N25*1.5),0)+IF(ISNUMBER(O25),(O25*2),0)+IF(OR(E25="ND",E25="ND12,5"),2,0)),(-M25-J25)),IF($P$45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IF(T24=0,0,IF(AND((ROW(T24)=MATCH(TRUE,($T$1:$T$41)&gt;0,0)),(D24="ND")),IF(T24&lt;3,T24,3),IF(AND(ROW(T24)=MATCH(TRUE,($T$1:$T$41)&gt;0,0),D24="ND12,5"),IF(T24&lt;2.5,T24,2.5),IF(D24="ND12,5",2.5,(T24-V24-W24)))))</f>
        <v>0</v>
      </c>
      <c r="V25" s="103">
        <f t="array" ref="V25">IF(T25=0,0,IF(AND((ROW(T25)=MATCH(TRUE,($T$1:$T$41)&gt;0,0)),(D25="ND")),IF(AND(T25&gt;11,T25&lt;=25),T25-11,0),IF(AND(ROW(T25)=MATCH(TRUE,($T$1:$T$41)&gt;0,0),D25="ND12,5"),IF(AND(T25&gt;10.5,T25&lt;=12.5),T25-10.5,0),IF(D25="ND12,5",2,IF(T25&lt;14,T25,14)))))</f>
        <v>0</v>
      </c>
      <c r="W25" s="103">
        <f t="array" ref="W25">IF(T25=0,0,IF(AND((ROW(T25)=MATCH(TRUE,($T$1:$T$41)&gt;0,0)),(D25="ND")),IF(AND(T25&gt;3,T25&lt;11),T25-3,IF(T25&gt;=11,8,0)),IF(AND((ROW(T25)=MATCH(TRUE,($T$1:$T$41)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IF(T25=0,0,IF((AND((ROW(T25)=MATCH(TRUE,($T$1:$T$41)&gt;0,0)))),IF(W25&gt;=6,W25-6,0),IF(W25&gt;=2,2,W25)))</f>
        <v>0</v>
      </c>
      <c r="Y25" s="242">
        <f t="array" ref="Y25">IF(T24=0,0,(IF((AND((ROW(T24)=MATCH(TRUE,($T$1:$T$41)&gt;0,0)))),IF(W24&gt;=6,6,W24),IF(W24&gt;=2,W24-2,0))))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46066</v>
      </c>
      <c r="C26" s="82">
        <f t="shared" si="4"/>
        <v>46066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$45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$45="Freizeit",(-M26-J26+IF(ISNUMBER(N26),(N26*1.5),0)+IF(ISNUMBER(O26),(O26*2),0)+IF(OR(E26="ND",E26="ND12,5"),2,0)),(-M26-J26)),IF($P$45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IF(T25=0,0,IF(AND((ROW(T25)=MATCH(TRUE,($T$1:$T$41)&gt;0,0)),(D25="ND")),IF(T25&lt;3,T25,3),IF(AND(ROW(T25)=MATCH(TRUE,($T$1:$T$41)&gt;0,0),D25="ND12,5"),IF(T25&lt;2.5,T25,2.5),IF(D25="ND12,5",2.5,(T25-V25-W25)))))</f>
        <v>0</v>
      </c>
      <c r="V26" s="103">
        <f t="array" ref="V26">IF(T26=0,0,IF(AND((ROW(T26)=MATCH(TRUE,($T$1:$T$41)&gt;0,0)),(D26="ND")),IF(AND(T26&gt;11,T26&lt;=25),T26-11,0),IF(AND(ROW(T26)=MATCH(TRUE,($T$1:$T$41)&gt;0,0),D26="ND12,5"),IF(AND(T26&gt;10.5,T26&lt;=12.5),T26-10.5,0),IF(D26="ND12,5",2,IF(T26&lt;14,T26,14)))))</f>
        <v>0</v>
      </c>
      <c r="W26" s="103">
        <f t="array" ref="W26">IF(T26=0,0,IF(AND((ROW(T26)=MATCH(TRUE,($T$1:$T$41)&gt;0,0)),(D26="ND")),IF(AND(T26&gt;3,T26&lt;11),T26-3,IF(T26&gt;=11,8,0)),IF(AND((ROW(T26)=MATCH(TRUE,($T$1:$T$41)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IF(T26=0,0,IF((AND((ROW(T26)=MATCH(TRUE,($T$1:$T$41)&gt;0,0)))),IF(W26&gt;=6,W26-6,0),IF(W26&gt;=2,2,W26)))</f>
        <v>0</v>
      </c>
      <c r="Y26" s="242">
        <f t="array" ref="Y26">IF(T25=0,0,(IF((AND((ROW(T25)=MATCH(TRUE,($T$1:$T$41)&gt;0,0)))),IF(W25&gt;=6,6,W25),IF(W25&gt;=2,W25-2,0))))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46067</v>
      </c>
      <c r="C27" s="82">
        <f t="shared" si="4"/>
        <v>46067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$45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$45="Freizeit",(-M27-J27+IF(ISNUMBER(N27),(N27*1.5),0)+IF(ISNUMBER(O27),(O27*2),0)+IF(OR(E27="ND",E27="ND12,5"),2,0)),(-M27-J27)),IF($P$45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IF(T26=0,0,IF(AND((ROW(T26)=MATCH(TRUE,($T$1:$T$41)&gt;0,0)),(D26="ND")),IF(T26&lt;3,T26,3),IF(AND(ROW(T26)=MATCH(TRUE,($T$1:$T$41)&gt;0,0),D26="ND12,5"),IF(T26&lt;2.5,T26,2.5),IF(D26="ND12,5",2.5,(T26-V26-W26)))))</f>
        <v>0</v>
      </c>
      <c r="V27" s="103">
        <f t="array" ref="V27">IF(T27=0,0,IF(AND((ROW(T27)=MATCH(TRUE,($T$1:$T$41)&gt;0,0)),(D27="ND")),IF(AND(T27&gt;11,T27&lt;=25),T27-11,0),IF(AND(ROW(T27)=MATCH(TRUE,($T$1:$T$41)&gt;0,0),D27="ND12,5"),IF(AND(T27&gt;10.5,T27&lt;=12.5),T27-10.5,0),IF(D27="ND12,5",2,IF(T27&lt;14,T27,14)))))</f>
        <v>0</v>
      </c>
      <c r="W27" s="103">
        <f t="array" ref="W27">IF(T27=0,0,IF(AND((ROW(T27)=MATCH(TRUE,($T$1:$T$41)&gt;0,0)),(D27="ND")),IF(AND(T27&gt;3,T27&lt;11),T27-3,IF(T27&gt;=11,8,0)),IF(AND((ROW(T27)=MATCH(TRUE,($T$1:$T$41)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IF(T27=0,0,IF((AND((ROW(T27)=MATCH(TRUE,($T$1:$T$41)&gt;0,0)))),IF(W27&gt;=6,W27-6,0),IF(W27&gt;=2,2,W27)))</f>
        <v>0</v>
      </c>
      <c r="Y27" s="242">
        <f t="array" ref="Y27">IF(T26=0,0,(IF((AND((ROW(T26)=MATCH(TRUE,($T$1:$T$41)&gt;0,0)))),IF(W26&gt;=6,6,W26),IF(W26&gt;=2,W26-2,0))))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46068</v>
      </c>
      <c r="C28" s="82">
        <f t="shared" si="4"/>
        <v>46068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>
        <f t="shared" si="3"/>
        <v>0</v>
      </c>
      <c r="P28" s="175">
        <f>IF(D28="",IF($P$45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$45="Freizeit",(-M28-J28+IF(ISNUMBER(N28),(N28*1.5),0)+IF(ISNUMBER(O28),(O28*2),0)+IF(OR(E28="ND",E28="ND12,5"),2,0)),(-M28-J28)),IF($P$45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IF(T27=0,0,IF(AND((ROW(T27)=MATCH(TRUE,($T$1:$T$41)&gt;0,0)),(D27="ND")),IF(T27&lt;3,T27,3),IF(AND(ROW(T27)=MATCH(TRUE,($T$1:$T$41)&gt;0,0),D27="ND12,5"),IF(T27&lt;2.5,T27,2.5),IF(D27="ND12,5",2.5,(T27-V27-W27)))))</f>
        <v>0</v>
      </c>
      <c r="V28" s="103">
        <f t="array" ref="V28">IF(T28=0,0,IF(AND((ROW(T28)=MATCH(TRUE,($T$1:$T$41)&gt;0,0)),(D28="ND")),IF(AND(T28&gt;11,T28&lt;=25),T28-11,0),IF(AND(ROW(T28)=MATCH(TRUE,($T$1:$T$41)&gt;0,0),D28="ND12,5"),IF(AND(T28&gt;10.5,T28&lt;=12.5),T28-10.5,0),IF(D28="ND12,5",2,IF(T28&lt;14,T28,14)))))</f>
        <v>0</v>
      </c>
      <c r="W28" s="103">
        <f t="array" ref="W28">IF(T28=0,0,IF(AND((ROW(T28)=MATCH(TRUE,($T$1:$T$41)&gt;0,0)),(D28="ND")),IF(AND(T28&gt;3,T28&lt;11),T28-3,IF(T28&gt;=11,8,0)),IF(AND((ROW(T28)=MATCH(TRUE,($T$1:$T$41)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IF(T28=0,0,IF((AND((ROW(T28)=MATCH(TRUE,($T$1:$T$41)&gt;0,0)))),IF(W28&gt;=6,W28-6,0),IF(W28&gt;=2,2,W28)))</f>
        <v>0</v>
      </c>
      <c r="Y28" s="242">
        <f t="array" ref="Y28">IF(T27=0,0,(IF((AND((ROW(T27)=MATCH(TRUE,($T$1:$T$41)&gt;0,0)))),IF(W27&gt;=6,6,W27),IF(W27&gt;=2,W27-2,0))))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46069</v>
      </c>
      <c r="C29" s="82">
        <f t="shared" si="4"/>
        <v>46069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$45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$45="Freizeit",(-M29-J29+IF(ISNUMBER(N29),(N29*1.5),0)+IF(ISNUMBER(O29),(O29*2),0)+IF(OR(E29="ND",E29="ND12,5"),2,0)),(-M29-J29)),IF($P$45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IF(T28=0,0,IF(AND((ROW(T28)=MATCH(TRUE,($T$1:$T$41)&gt;0,0)),(D28="ND")),IF(T28&lt;3,T28,3),IF(AND(ROW(T28)=MATCH(TRUE,($T$1:$T$41)&gt;0,0),D28="ND12,5"),IF(T28&lt;2.5,T28,2.5),IF(D28="ND12,5",2.5,(T28-V28-W28)))))</f>
        <v>0</v>
      </c>
      <c r="V29" s="103">
        <f t="array" ref="V29">IF(T29=0,0,IF(AND((ROW(T29)=MATCH(TRUE,($T$1:$T$41)&gt;0,0)),(D29="ND")),IF(AND(T29&gt;11,T29&lt;=25),T29-11,0),IF(AND(ROW(T29)=MATCH(TRUE,($T$1:$T$41)&gt;0,0),D29="ND12,5"),IF(AND(T29&gt;10.5,T29&lt;=12.5),T29-10.5,0),IF(D29="ND12,5",2,IF(T29&lt;14,T29,14)))))</f>
        <v>0</v>
      </c>
      <c r="W29" s="103">
        <f t="array" ref="W29">IF(T29=0,0,IF(AND((ROW(T29)=MATCH(TRUE,($T$1:$T$41)&gt;0,0)),(D29="ND")),IF(AND(T29&gt;3,T29&lt;11),T29-3,IF(T29&gt;=11,8,0)),IF(AND((ROW(T29)=MATCH(TRUE,($T$1:$T$41)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IF(T29=0,0,IF((AND((ROW(T29)=MATCH(TRUE,($T$1:$T$41)&gt;0,0)))),IF(W29&gt;=6,W29-6,0),IF(W29&gt;=2,2,W29)))</f>
        <v>0</v>
      </c>
      <c r="Y29" s="242">
        <f t="array" ref="Y29">IF(T28=0,0,(IF((AND((ROW(T28)=MATCH(TRUE,($T$1:$T$41)&gt;0,0)))),IF(W28&gt;=6,6,W28),IF(W28&gt;=2,W28-2,0))))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46070</v>
      </c>
      <c r="C30" s="82">
        <f t="shared" si="4"/>
        <v>46070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$45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$45="Freizeit",(-M30-J30+IF(ISNUMBER(N30),(N30*1.5),0)+IF(ISNUMBER(O30),(O30*2),0)+IF(OR(E30="ND",E30="ND12,5"),2,0)),(-M30-J30)),IF($P$45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IF(T29=0,0,IF(AND((ROW(T29)=MATCH(TRUE,($T$1:$T$41)&gt;0,0)),(D29="ND")),IF(T29&lt;3,T29,3),IF(AND(ROW(T29)=MATCH(TRUE,($T$1:$T$41)&gt;0,0),D29="ND12,5"),IF(T29&lt;2.5,T29,2.5),IF(D29="ND12,5",2.5,(T29-V29-W29)))))</f>
        <v>0</v>
      </c>
      <c r="V30" s="103">
        <f t="array" ref="V30">IF(T30=0,0,IF(AND((ROW(T30)=MATCH(TRUE,($T$1:$T$41)&gt;0,0)),(D30="ND")),IF(AND(T30&gt;11,T30&lt;=25),T30-11,0),IF(AND(ROW(T30)=MATCH(TRUE,($T$1:$T$41)&gt;0,0),D30="ND12,5"),IF(AND(T30&gt;10.5,T30&lt;=12.5),T30-10.5,0),IF(D30="ND12,5",2,IF(T30&lt;14,T30,14)))))</f>
        <v>0</v>
      </c>
      <c r="W30" s="103">
        <f t="array" ref="W30">IF(T30=0,0,IF(AND((ROW(T30)=MATCH(TRUE,($T$1:$T$41)&gt;0,0)),(D30="ND")),IF(AND(T30&gt;3,T30&lt;11),T30-3,IF(T30&gt;=11,8,0)),IF(AND((ROW(T30)=MATCH(TRUE,($T$1:$T$41)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IF(T30=0,0,IF((AND((ROW(T30)=MATCH(TRUE,($T$1:$T$41)&gt;0,0)))),IF(W30&gt;=6,W30-6,0),IF(W30&gt;=2,2,W30)))</f>
        <v>0</v>
      </c>
      <c r="Y30" s="242">
        <f t="array" ref="Y30">IF(T29=0,0,(IF((AND((ROW(T29)=MATCH(TRUE,($T$1:$T$41)&gt;0,0)))),IF(W29&gt;=6,6,W29),IF(W29&gt;=2,W29-2,0))))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46071</v>
      </c>
      <c r="C31" s="82">
        <f t="shared" si="4"/>
        <v>46071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$45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$45="Freizeit",(-M31-J31+IF(ISNUMBER(N31),(N31*1.5),0)+IF(ISNUMBER(O31),(O31*2),0)+IF(OR(E31="ND",E31="ND12,5"),2,0)),(-M31-J31)),IF($P$45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IF(T30=0,0,IF(AND((ROW(T30)=MATCH(TRUE,($T$1:$T$41)&gt;0,0)),(D30="ND")),IF(T30&lt;3,T30,3),IF(AND(ROW(T30)=MATCH(TRUE,($T$1:$T$41)&gt;0,0),D30="ND12,5"),IF(T30&lt;2.5,T30,2.5),IF(D30="ND12,5",2.5,(T30-V30-W30)))))</f>
        <v>0</v>
      </c>
      <c r="V31" s="103">
        <f t="array" ref="V31">IF(T31=0,0,IF(AND((ROW(T31)=MATCH(TRUE,($T$1:$T$41)&gt;0,0)),(D31="ND")),IF(AND(T31&gt;11,T31&lt;=25),T31-11,0),IF(AND(ROW(T31)=MATCH(TRUE,($T$1:$T$41)&gt;0,0),D31="ND12,5"),IF(AND(T31&gt;10.5,T31&lt;=12.5),T31-10.5,0),IF(D31="ND12,5",2,IF(T31&lt;14,T31,14)))))</f>
        <v>0</v>
      </c>
      <c r="W31" s="103">
        <f t="array" ref="W31">IF(T31=0,0,IF(AND((ROW(T31)=MATCH(TRUE,($T$1:$T$41)&gt;0,0)),(D31="ND")),IF(AND(T31&gt;3,T31&lt;11),T31-3,IF(T31&gt;=11,8,0)),IF(AND((ROW(T31)=MATCH(TRUE,($T$1:$T$41)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IF(T31=0,0,IF((AND((ROW(T31)=MATCH(TRUE,($T$1:$T$41)&gt;0,0)))),IF(W31&gt;=6,W31-6,0),IF(W31&gt;=2,2,W31)))</f>
        <v>0</v>
      </c>
      <c r="Y31" s="242">
        <f t="array" ref="Y31">IF(T30=0,0,(IF((AND((ROW(T30)=MATCH(TRUE,($T$1:$T$41)&gt;0,0)))),IF(W30&gt;=6,6,W30),IF(W30&gt;=2,W30-2,0))))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46072</v>
      </c>
      <c r="C32" s="82">
        <f t="shared" si="4"/>
        <v>46072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$45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$45="Freizeit",(-M32-J32+IF(ISNUMBER(N32),(N32*1.5),0)+IF(ISNUMBER(O32),(O32*2),0)+IF(OR(E32="ND",E32="ND12,5"),2,0)),(-M32-J32)),IF($P$45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IF(T31=0,0,IF(AND((ROW(T31)=MATCH(TRUE,($T$1:$T$41)&gt;0,0)),(D31="ND")),IF(T31&lt;3,T31,3),IF(AND(ROW(T31)=MATCH(TRUE,($T$1:$T$41)&gt;0,0),D31="ND12,5"),IF(T31&lt;2.5,T31,2.5),IF(D31="ND12,5",2.5,(T31-V31-W31)))))</f>
        <v>0</v>
      </c>
      <c r="V32" s="103">
        <f t="array" ref="V32">IF(T32=0,0,IF(AND((ROW(T32)=MATCH(TRUE,($T$1:$T$41)&gt;0,0)),(D32="ND")),IF(AND(T32&gt;11,T32&lt;=25),T32-11,0),IF(AND(ROW(T32)=MATCH(TRUE,($T$1:$T$41)&gt;0,0),D32="ND12,5"),IF(AND(T32&gt;10.5,T32&lt;=12.5),T32-10.5,0),IF(D32="ND12,5",2,IF(T32&lt;14,T32,14)))))</f>
        <v>0</v>
      </c>
      <c r="W32" s="103">
        <f t="array" ref="W32">IF(T32=0,0,IF(AND((ROW(T32)=MATCH(TRUE,($T$1:$T$41)&gt;0,0)),(D32="ND")),IF(AND(T32&gt;3,T32&lt;11),T32-3,IF(T32&gt;=11,8,0)),IF(AND((ROW(T32)=MATCH(TRUE,($T$1:$T$41)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IF(T32=0,0,IF((AND((ROW(T32)=MATCH(TRUE,($T$1:$T$41)&gt;0,0)))),IF(W32&gt;=6,W32-6,0),IF(W32&gt;=2,2,W32)))</f>
        <v>0</v>
      </c>
      <c r="Y32" s="242">
        <f t="array" ref="Y32">IF(T31=0,0,(IF((AND((ROW(T31)=MATCH(TRUE,($T$1:$T$41)&gt;0,0)))),IF(W31&gt;=6,6,W31),IF(W31&gt;=2,W31-2,0))))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46073</v>
      </c>
      <c r="C33" s="82">
        <f t="shared" si="4"/>
        <v>46073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$45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$45="Freizeit",(-M33-J33+IF(ISNUMBER(N33),(N33*1.5),0)+IF(ISNUMBER(O33),(O33*2),0)+IF(OR(E33="ND",E33="ND12,5"),2,0)),(-M33-J33)),IF($P$45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IF(T32=0,0,IF(AND((ROW(T32)=MATCH(TRUE,($T$1:$T$41)&gt;0,0)),(D32="ND")),IF(T32&lt;3,T32,3),IF(AND(ROW(T32)=MATCH(TRUE,($T$1:$T$41)&gt;0,0),D32="ND12,5"),IF(T32&lt;2.5,T32,2.5),IF(D32="ND12,5",2.5,(T32-V32-W32)))))</f>
        <v>0</v>
      </c>
      <c r="V33" s="103">
        <f t="array" ref="V33">IF(T33=0,0,IF(AND((ROW(T33)=MATCH(TRUE,($T$1:$T$41)&gt;0,0)),(D33="ND")),IF(AND(T33&gt;11,T33&lt;=25),T33-11,0),IF(AND(ROW(T33)=MATCH(TRUE,($T$1:$T$41)&gt;0,0),D33="ND12,5"),IF(AND(T33&gt;10.5,T33&lt;=12.5),T33-10.5,0),IF(D33="ND12,5",2,IF(T33&lt;14,T33,14)))))</f>
        <v>0</v>
      </c>
      <c r="W33" s="103">
        <f t="array" ref="W33">IF(T33=0,0,IF(AND((ROW(T33)=MATCH(TRUE,($T$1:$T$41)&gt;0,0)),(D33="ND")),IF(AND(T33&gt;3,T33&lt;11),T33-3,IF(T33&gt;=11,8,0)),IF(AND((ROW(T33)=MATCH(TRUE,($T$1:$T$41)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IF(T33=0,0,IF((AND((ROW(T33)=MATCH(TRUE,($T$1:$T$41)&gt;0,0)))),IF(W33&gt;=6,W33-6,0),IF(W33&gt;=2,2,W33)))</f>
        <v>0</v>
      </c>
      <c r="Y33" s="242">
        <f t="array" ref="Y33">IF(T32=0,0,(IF((AND((ROW(T32)=MATCH(TRUE,($T$1:$T$41)&gt;0,0)))),IF(W32&gt;=6,6,W32),IF(W32&gt;=2,W32-2,0))))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46074</v>
      </c>
      <c r="C34" s="82">
        <f t="shared" si="4"/>
        <v>46074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$45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$45="Freizeit",(-M34-J34+IF(ISNUMBER(N34),(N34*1.5),0)+IF(ISNUMBER(O34),(O34*2),0)+IF(OR(E34="ND",E34="ND12,5"),2,0)),(-M34-J34)),IF($P$45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IF(T33=0,0,IF(AND((ROW(T33)=MATCH(TRUE,($T$1:$T$41)&gt;0,0)),(D33="ND")),IF(T33&lt;3,T33,3),IF(AND(ROW(T33)=MATCH(TRUE,($T$1:$T$41)&gt;0,0),D33="ND12,5"),IF(T33&lt;2.5,T33,2.5),IF(D33="ND12,5",2.5,(T33-V33-W33)))))</f>
        <v>0</v>
      </c>
      <c r="V34" s="103">
        <f t="array" ref="V34">IF(T34=0,0,IF(AND((ROW(T34)=MATCH(TRUE,($T$1:$T$41)&gt;0,0)),(D34="ND")),IF(AND(T34&gt;11,T34&lt;=25),T34-11,0),IF(AND(ROW(T34)=MATCH(TRUE,($T$1:$T$41)&gt;0,0),D34="ND12,5"),IF(AND(T34&gt;10.5,T34&lt;=12.5),T34-10.5,0),IF(D34="ND12,5",2,IF(T34&lt;14,T34,14)))))</f>
        <v>0</v>
      </c>
      <c r="W34" s="103">
        <f t="array" ref="W34">IF(T34=0,0,IF(AND((ROW(T34)=MATCH(TRUE,($T$1:$T$41)&gt;0,0)),(D34="ND")),IF(AND(T34&gt;3,T34&lt;11),T34-3,IF(T34&gt;=11,8,0)),IF(AND((ROW(T34)=MATCH(TRUE,($T$1:$T$41)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IF(T34=0,0,IF((AND((ROW(T34)=MATCH(TRUE,($T$1:$T$41)&gt;0,0)))),IF(W34&gt;=6,W34-6,0),IF(W34&gt;=2,2,W34)))</f>
        <v>0</v>
      </c>
      <c r="Y34" s="242">
        <f t="array" ref="Y34">IF(T33=0,0,(IF((AND((ROW(T33)=MATCH(TRUE,($T$1:$T$41)&gt;0,0)))),IF(W33&gt;=6,6,W33),IF(W33&gt;=2,W33-2,0))))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46075</v>
      </c>
      <c r="C35" s="82">
        <f t="shared" si="4"/>
        <v>46075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>
        <f t="shared" si="3"/>
        <v>0</v>
      </c>
      <c r="P35" s="175">
        <f>IF(D35="",IF($P$45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$45="Freizeit",(-M35-J35+IF(ISNUMBER(N35),(N35*1.5),0)+IF(ISNUMBER(O35),(O35*2),0)+IF(OR(E35="ND",E35="ND12,5"),2,0)),(-M35-J35)),IF($P$45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IF(T34=0,0,IF(AND((ROW(T34)=MATCH(TRUE,($T$1:$T$41)&gt;0,0)),(D34="ND")),IF(T34&lt;3,T34,3),IF(AND(ROW(T34)=MATCH(TRUE,($T$1:$T$41)&gt;0,0),D34="ND12,5"),IF(T34&lt;2.5,T34,2.5),IF(D34="ND12,5",2.5,(T34-V34-W34)))))</f>
        <v>0</v>
      </c>
      <c r="V35" s="103">
        <f t="array" ref="V35">IF(T35=0,0,IF(AND((ROW(T35)=MATCH(TRUE,($T$1:$T$41)&gt;0,0)),(D35="ND")),IF(AND(T35&gt;11,T35&lt;=25),T35-11,0),IF(AND(ROW(T35)=MATCH(TRUE,($T$1:$T$41)&gt;0,0),D35="ND12,5"),IF(AND(T35&gt;10.5,T35&lt;=12.5),T35-10.5,0),IF(D35="ND12,5",2,IF(T35&lt;14,T35,14)))))</f>
        <v>0</v>
      </c>
      <c r="W35" s="103">
        <f t="array" ref="W35">IF(T35=0,0,IF(AND((ROW(T35)=MATCH(TRUE,($T$1:$T$41)&gt;0,0)),(D35="ND")),IF(AND(T35&gt;3,T35&lt;11),T35-3,IF(T35&gt;=11,8,0)),IF(AND((ROW(T35)=MATCH(TRUE,($T$1:$T$41)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IF(T35=0,0,IF((AND((ROW(T35)=MATCH(TRUE,($T$1:$T$41)&gt;0,0)))),IF(W35&gt;=6,W35-6,0),IF(W35&gt;=2,2,W35)))</f>
        <v>0</v>
      </c>
      <c r="Y35" s="242">
        <f t="array" ref="Y35">IF(T34=0,0,(IF((AND((ROW(T34)=MATCH(TRUE,($T$1:$T$41)&gt;0,0)))),IF(W34&gt;=6,6,W34),IF(W34&gt;=2,W34-2,0))))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46076</v>
      </c>
      <c r="C36" s="82">
        <f t="shared" si="4"/>
        <v>46076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$45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$45="Freizeit",(-M36-J36+IF(ISNUMBER(N36),(N36*1.5),0)+IF(ISNUMBER(O36),(O36*2),0)+IF(OR(E36="ND",E36="ND12,5"),2,0)),(-M36-J36)),IF($P$45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IF(T35=0,0,IF(AND((ROW(T35)=MATCH(TRUE,($T$1:$T$41)&gt;0,0)),(D35="ND")),IF(T35&lt;3,T35,3),IF(AND(ROW(T35)=MATCH(TRUE,($T$1:$T$41)&gt;0,0),D35="ND12,5"),IF(T35&lt;2.5,T35,2.5),IF(D35="ND12,5",2.5,(T35-V35-W35)))))</f>
        <v>0</v>
      </c>
      <c r="V36" s="103">
        <f t="array" ref="V36">IF(T36=0,0,IF(AND((ROW(T36)=MATCH(TRUE,($T$1:$T$41)&gt;0,0)),(D36="ND")),IF(AND(T36&gt;11,T36&lt;=25),T36-11,0),IF(AND(ROW(T36)=MATCH(TRUE,($T$1:$T$41)&gt;0,0),D36="ND12,5"),IF(AND(T36&gt;10.5,T36&lt;=12.5),T36-10.5,0),IF(D36="ND12,5",2,IF(T36&lt;14,T36,14)))))</f>
        <v>0</v>
      </c>
      <c r="W36" s="103">
        <f t="array" ref="W36">IF(T36=0,0,IF(AND((ROW(T36)=MATCH(TRUE,($T$1:$T$41)&gt;0,0)),(D36="ND")),IF(AND(T36&gt;3,T36&lt;11),T36-3,IF(T36&gt;=11,8,0)),IF(AND((ROW(T36)=MATCH(TRUE,($T$1:$T$41)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IF(T36=0,0,IF((AND((ROW(T36)=MATCH(TRUE,($T$1:$T$41)&gt;0,0)))),IF(W36&gt;=6,W36-6,0),IF(W36&gt;=2,2,W36)))</f>
        <v>0</v>
      </c>
      <c r="Y36" s="242">
        <f t="array" ref="Y36">IF(T35=0,0,(IF((AND((ROW(T35)=MATCH(TRUE,($T$1:$T$41)&gt;0,0)))),IF(W35&gt;=6,6,W35),IF(W35&gt;=2,W35-2,0))))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46077</v>
      </c>
      <c r="C37" s="82">
        <f t="shared" si="4"/>
        <v>46077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$45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$45="Freizeit",(-M37-J37+IF(ISNUMBER(N37),(N37*1.5),0)+IF(ISNUMBER(O37),(O37*2),0)+IF(OR(E37="ND",E37="ND12,5"),2,0)),(-M37-J37)),IF($P$45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IF(T36=0,0,IF(AND((ROW(T36)=MATCH(TRUE,($T$1:$T$41)&gt;0,0)),(D36="ND")),IF(T36&lt;3,T36,3),IF(AND(ROW(T36)=MATCH(TRUE,($T$1:$T$41)&gt;0,0),D36="ND12,5"),IF(T36&lt;2.5,T36,2.5),IF(D36="ND12,5",2.5,(T36-V36-W36)))))</f>
        <v>0</v>
      </c>
      <c r="V37" s="103">
        <f t="array" ref="V37">IF(T37=0,0,IF(AND((ROW(T37)=MATCH(TRUE,($T$1:$T$41)&gt;0,0)),(D37="ND")),IF(AND(T37&gt;11,T37&lt;=25),T37-11,0),IF(AND(ROW(T37)=MATCH(TRUE,($T$1:$T$41)&gt;0,0),D37="ND12,5"),IF(AND(T37&gt;10.5,T37&lt;=12.5),T37-10.5,0),IF(D37="ND12,5",2,IF(T37&lt;14,T37,14)))))</f>
        <v>0</v>
      </c>
      <c r="W37" s="103">
        <f t="array" ref="W37">IF(T37=0,0,IF(AND((ROW(T37)=MATCH(TRUE,($T$1:$T$41)&gt;0,0)),(D37="ND")),IF(AND(T37&gt;3,T37&lt;11),T37-3,IF(T37&gt;=11,8,0)),IF(AND((ROW(T37)=MATCH(TRUE,($T$1:$T$41)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IF(T37=0,0,IF((AND((ROW(T37)=MATCH(TRUE,($T$1:$T$41)&gt;0,0)))),IF(W37&gt;=6,W37-6,0),IF(W37&gt;=2,2,W37)))</f>
        <v>0</v>
      </c>
      <c r="Y37" s="242">
        <f t="array" ref="Y37">IF(T36=0,0,(IF((AND((ROW(T36)=MATCH(TRUE,($T$1:$T$41)&gt;0,0)))),IF(W36&gt;=6,6,W36),IF(W36&gt;=2,W36-2,0))))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46078</v>
      </c>
      <c r="C38" s="82">
        <f t="shared" si="4"/>
        <v>46078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$45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$45="Freizeit",(-M38-J38+IF(ISNUMBER(N38),(N38*1.5),0)+IF(ISNUMBER(O38),(O38*2),0)+IF(OR(E38="ND",E38="ND12,5"),2,0)),(-M38-J38)),IF($P$45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IF(T37=0,0,IF(AND((ROW(T37)=MATCH(TRUE,($T$1:$T$41)&gt;0,0)),(D37="ND")),IF(T37&lt;3,T37,3),IF(AND(ROW(T37)=MATCH(TRUE,($T$1:$T$41)&gt;0,0),D37="ND12,5"),IF(T37&lt;2.5,T37,2.5),IF(D37="ND12,5",2.5,(T37-V37-W37)))))</f>
        <v>0</v>
      </c>
      <c r="V38" s="103">
        <f t="array" ref="V38">IF(T38=0,0,IF(AND((ROW(T38)=MATCH(TRUE,($T$1:$T$41)&gt;0,0)),(D38="ND")),IF(AND(T38&gt;11,T38&lt;=25),T38-11,0),IF(AND(ROW(T38)=MATCH(TRUE,($T$1:$T$41)&gt;0,0),D38="ND12,5"),IF(AND(T38&gt;10.5,T38&lt;=12.5),T38-10.5,0),IF(D38="ND12,5",2,IF(T38&lt;14,T38,14)))))</f>
        <v>0</v>
      </c>
      <c r="W38" s="103">
        <f t="array" ref="W38">IF(T38=0,0,IF(AND((ROW(T38)=MATCH(TRUE,($T$1:$T$41)&gt;0,0)),(D38="ND")),IF(AND(T38&gt;3,T38&lt;11),T38-3,IF(T38&gt;=11,8,0)),IF(AND((ROW(T38)=MATCH(TRUE,($T$1:$T$41)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IF(T38=0,0,IF((AND((ROW(T38)=MATCH(TRUE,($T$1:$T$41)&gt;0,0)))),IF(W38&gt;=6,W38-6,0),IF(W38&gt;=2,2,W38)))</f>
        <v>0</v>
      </c>
      <c r="Y38" s="242">
        <f t="array" ref="Y38">IF(T37=0,0,(IF((AND((ROW(T37)=MATCH(TRUE,($T$1:$T$41)&gt;0,0)))),IF(W37&gt;=6,6,W37),IF(W37&gt;=2,W37-2,0))))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46079</v>
      </c>
      <c r="C39" s="82">
        <f t="shared" si="4"/>
        <v>46079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$45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$45="Freizeit",(-M39-J39+IF(ISNUMBER(N39),(N39*1.5),0)+IF(ISNUMBER(O39),(O39*2),0)+IF(OR(E39="ND",E39="ND12,5"),2,0)),(-M39-J39)),IF($P$45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IF(T38=0,0,IF(AND((ROW(T38)=MATCH(TRUE,($T$1:$T$41)&gt;0,0)),(D38="ND")),IF(T38&lt;3,T38,3),IF(AND(ROW(T38)=MATCH(TRUE,($T$1:$T$41)&gt;0,0),D38="ND12,5"),IF(T38&lt;2.5,T38,2.5),IF(D38="ND12,5",2.5,(T38-V38-W38)))))</f>
        <v>0</v>
      </c>
      <c r="V39" s="103">
        <f t="array" ref="V39">IF(T39=0,0,IF(AND((ROW(T39)=MATCH(TRUE,($T$1:$T$41)&gt;0,0)),(D39="ND")),IF(AND(T39&gt;11,T39&lt;=25),T39-11,0),IF(AND(ROW(T39)=MATCH(TRUE,($T$1:$T$41)&gt;0,0),D39="ND12,5"),IF(AND(T39&gt;10.5,T39&lt;=12.5),T39-10.5,0),IF(D39="ND12,5",2,IF(T39&lt;14,T39,14)))))</f>
        <v>0</v>
      </c>
      <c r="W39" s="103">
        <f t="array" ref="W39">IF(T39=0,0,IF(AND((ROW(T39)=MATCH(TRUE,($T$1:$T$41)&gt;0,0)),(D39="ND")),IF(AND(T39&gt;3,T39&lt;11),T39-3,IF(T39&gt;=11,8,0)),IF(AND((ROW(T39)=MATCH(TRUE,($T$1:$T$41)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IF(T39=0,0,IF((AND((ROW(T39)=MATCH(TRUE,($T$1:$T$41)&gt;0,0)))),IF(W39&gt;=6,W39-6,0),IF(W39&gt;=2,2,W39)))</f>
        <v>0</v>
      </c>
      <c r="Y39" s="242">
        <f t="array" ref="Y39">IF(T38=0,0,(IF((AND((ROW(T38)=MATCH(TRUE,($T$1:$T$41)&gt;0,0)))),IF(W38&gt;=6,6,W38),IF(W38&gt;=2,W38-2,0))))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46080</v>
      </c>
      <c r="C40" s="82">
        <f t="shared" si="4"/>
        <v>46080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$45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$45="Freizeit",(-M40-J40+IF(ISNUMBER(N40),(N40*1.5),0)+IF(ISNUMBER(O40),(O40*2),0)+IF(OR(E40="ND",E40="ND12,5"),2,0)),(-M40-J40)),IF($P$45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IF(T39=0,0,IF(AND((ROW(T39)=MATCH(TRUE,($T$1:$T$41)&gt;0,0)),(D39="ND")),IF(T39&lt;3,T39,3),IF(AND(ROW(T39)=MATCH(TRUE,($T$1:$T$41)&gt;0,0),D39="ND12,5"),IF(T39&lt;2.5,T39,2.5),IF(D39="ND12,5",2.5,(T39-V39-W39)))))</f>
        <v>0</v>
      </c>
      <c r="V40" s="103">
        <f t="array" ref="V40">IF(T40=0,0,IF(AND((ROW(T40)=MATCH(TRUE,($T$1:$T$41)&gt;0,0)),(D40="ND")),IF(AND(T40&gt;11,T40&lt;=25),T40-11,0),IF(AND(ROW(T40)=MATCH(TRUE,($T$1:$T$41)&gt;0,0),D40="ND12,5"),IF(AND(T40&gt;10.5,T40&lt;=12.5),T40-10.5,0),IF(D40="ND12,5",2,IF(T40&lt;14,T40,14)))))</f>
        <v>0</v>
      </c>
      <c r="W40" s="103">
        <f t="array" ref="W40">IF(T40=0,0,IF(AND((ROW(T40)=MATCH(TRUE,($T$1:$T$41)&gt;0,0)),(D40="ND")),IF(AND(T40&gt;3,T40&lt;11),T40-3,IF(T40&gt;=11,8,0)),IF(AND((ROW(T40)=MATCH(TRUE,($T$1:$T$41)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IF(T40=0,0,IF((AND((ROW(T40)=MATCH(TRUE,($T$1:$T$41)&gt;0,0)))),IF(W40&gt;=6,W40-6,0),IF(W40&gt;=2,2,W40)))</f>
        <v>0</v>
      </c>
      <c r="Y40" s="242">
        <f t="array" ref="Y40">IF(T39=0,0,(IF((AND((ROW(T39)=MATCH(TRUE,($T$1:$T$41)&gt;0,0)))),IF(W39&gt;=6,6,W39),IF(W39&gt;=2,W39-2,0))))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46081</v>
      </c>
      <c r="C41" s="82">
        <f t="shared" si="4"/>
        <v>46081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IF(D41="","",IF(OR(E40="ND",E40="ND12,5",E41="ND12,5",E41="ZA",E41="NDG",E41="RG",E41="WR"),0+AE41,IF(OR(D41="U",D41="SU",D41="PK",D41="K",D41="KA"),VLOOKUP(D41,Datenblatt!$A$2:$C$31,2,FALSE),VLOOKUP(D41,Datenblatt!$A$2:$C$31,2,FALSE)-J41-L42)))</f>
        <v/>
      </c>
      <c r="M41" s="199" t="str">
        <f>IF(D41="","",IF(E40="ND",VLOOKUP(D41,Datenblatt!$A$2:$C$31,3,FALSE)-1,IF(E40="ND12,5",VLOOKUP(D41,Datenblatt!$A$2:$C$31,3,FALSE)-0.5,VLOOKUP(D41,Datenblatt!$A$2:$C$31,3,FALSE)-M42)))</f>
        <v/>
      </c>
      <c r="N41" s="200" t="str">
        <f t="shared" ref="N41" si="12">IF(AND(F41="",G41=""),"",IF(OR(F41&gt;G41,AND(F41="",G41&gt;0),F41=G41),"ungültig",IF(OR(WEEKDAY(B41,2)=7,A41="Ft"),0,(G41-F41)*24)))</f>
        <v/>
      </c>
      <c r="O41" s="200" t="str">
        <f t="shared" si="3"/>
        <v/>
      </c>
      <c r="P41" s="175">
        <f>IF(D41="",IF($P$45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$45="Freizeit",(-M41-J41+IF(ISNUMBER(N41),(N41*1.5),0)+IF(ISNUMBER(O41),(O41*2),0)+IF(OR(E41="ND",E41="ND12,5"),2,0)),(-M41-J41)),IF($P$45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9"/>
      <c r="T41" s="102">
        <f t="shared" si="5"/>
        <v>0</v>
      </c>
      <c r="U41" s="105">
        <f t="array" ref="U41">IF(T40=0,0,IF(AND((ROW(T40)=MATCH(TRUE,($T$1:$T$41)&gt;0,0)),(D40="ND")),IF(T40&lt;3,T40,3),IF(AND(ROW(T40)=MATCH(TRUE,($T$1:$T$41)&gt;0,0),D40="ND12,5"),IF(T40&lt;2.5,T40,2.5),IF(D40="ND12,5",2.5,(T40-V40-W40)))))</f>
        <v>0</v>
      </c>
      <c r="V41" s="103">
        <f t="array" ref="V41">IF(T41=0,0,IF(AND((ROW(T41)=MATCH(TRUE,($T$1:$T$41)&gt;0,0)),(D41="ND")),IF(AND(T41&gt;11,T41&lt;=25),T41-11,0),IF(AND(ROW(T41)=MATCH(TRUE,($T$1:$T$41)&gt;0,0),D41="ND12,5"),IF(AND(T41&gt;10.5,T41&lt;=12.5),T41-10.5,0),IF(D41="ND12,5",2,IF(T41&lt;14,T41,14)))))</f>
        <v>0</v>
      </c>
      <c r="W41" s="103">
        <f t="array" ref="W41">IF(T41=0,0,IF(AND((ROW(T41)=MATCH(TRUE,($T$1:$T$41)&gt;0,0)),(D41="ND")),IF(T41&gt;=2,2,T41),IF(AND((ROW(T41)=MATCH(TRUE,($T$1:$T$41)&gt;0,0)),(D41="ND12,5")),IF(T41&gt;=2,2,T41),IF(D41="ND12,5",2,IF(AND(T41&gt;14,T41&lt;22),(T41-V41),IF(T41&gt;=22,8,0))))))</f>
        <v>0</v>
      </c>
      <c r="X41" s="242">
        <f t="array" ref="X41">IF(T41=0,0,IF((AND((ROW(T41)=MATCH(TRUE,($T$1:$T$41)&gt;0,0)))),IF(W41&gt;=6,W41-6,0),IF(W41&gt;=2,2,W41)))</f>
        <v>0</v>
      </c>
      <c r="Y41" s="242">
        <f t="array" ref="Y41">IF(T40=0,0,(IF((AND((ROW(T40)=MATCH(TRUE,($T$1:$T$41)&gt;0,0)))),IF(W40&gt;=6,6,W40),IF(W40&gt;=2,W40-2,0))))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 thickBot="1">
      <c r="A42" s="216" t="str">
        <f>IF(ISERROR(VLOOKUP(C42,Datenblatt!$B$84:$B$97,1,FALSE)),"","Ft")</f>
        <v/>
      </c>
      <c r="B42" s="143"/>
      <c r="C42" s="140"/>
      <c r="D42" s="140"/>
      <c r="E42" s="140"/>
      <c r="F42" s="140"/>
      <c r="G42" s="140"/>
      <c r="H42" s="140"/>
      <c r="I42" s="140"/>
      <c r="J42" s="144">
        <f>SUM(J14:J41)</f>
        <v>0</v>
      </c>
      <c r="K42" s="202">
        <f>SUM(K14:K41)</f>
        <v>0</v>
      </c>
      <c r="L42" s="162" t="str">
        <f>IF(D41="ND",9,IF(D41="ND12,5",8.5,"0"))</f>
        <v>0</v>
      </c>
      <c r="M42" s="162" t="str">
        <f>IF(D41="ND",9,IF(D41="ND12,5",8.5,"0"))</f>
        <v>0</v>
      </c>
      <c r="N42" s="208">
        <f t="shared" ref="N42:O42" si="13">SUM(N14:N41)</f>
        <v>0</v>
      </c>
      <c r="O42" s="209">
        <f t="shared" si="13"/>
        <v>0</v>
      </c>
      <c r="P42" s="186">
        <f>SUM(P14:P41)</f>
        <v>0</v>
      </c>
      <c r="Q42" s="187"/>
      <c r="R42" s="146"/>
      <c r="S42" s="147"/>
      <c r="T42" s="145"/>
      <c r="U42" s="106"/>
      <c r="V42" s="107"/>
      <c r="W42" s="107"/>
      <c r="X42" s="107"/>
      <c r="Y42" s="107"/>
      <c r="Z42" s="145"/>
      <c r="AA42" s="204"/>
      <c r="AB42" s="204"/>
      <c r="AC42" s="204"/>
      <c r="AD42" s="204"/>
      <c r="AE42" s="204"/>
      <c r="AF42" s="204"/>
      <c r="AG42" s="204"/>
      <c r="AH42" s="204"/>
    </row>
    <row r="43" spans="1:34" s="77" customFormat="1" ht="0.75" customHeight="1" thickBot="1">
      <c r="A43" s="419"/>
      <c r="B43" s="67"/>
      <c r="C43" s="68"/>
      <c r="D43" s="69"/>
      <c r="E43" s="94"/>
      <c r="F43" s="70"/>
      <c r="G43" s="71"/>
      <c r="H43" s="72"/>
      <c r="I43" s="71"/>
      <c r="J43" s="73"/>
      <c r="K43" s="87"/>
      <c r="L43" s="72"/>
      <c r="M43" s="74"/>
      <c r="N43" s="74"/>
      <c r="O43" s="75"/>
      <c r="P43" s="76"/>
      <c r="Q43" s="71"/>
      <c r="R43" s="67"/>
      <c r="T43" s="108"/>
      <c r="U43" s="108"/>
      <c r="V43" s="108"/>
      <c r="W43" s="108"/>
      <c r="X43" s="108"/>
      <c r="Y43" s="108"/>
      <c r="Z43" s="176"/>
      <c r="AA43" s="205"/>
      <c r="AB43" s="205"/>
      <c r="AC43" s="205"/>
      <c r="AD43" s="205"/>
      <c r="AE43" s="205"/>
      <c r="AF43" s="205"/>
      <c r="AG43" s="205"/>
      <c r="AH43" s="205"/>
    </row>
    <row r="44" spans="1:34" s="63" customFormat="1">
      <c r="A44" s="216"/>
      <c r="B44" s="158" t="s">
        <v>146</v>
      </c>
      <c r="C44" s="158"/>
      <c r="D44" s="56"/>
      <c r="E44" s="56"/>
      <c r="F44" s="54"/>
      <c r="G44" s="54"/>
      <c r="H44" s="54"/>
      <c r="I44" s="239"/>
      <c r="J44" s="239"/>
      <c r="K44" s="239"/>
      <c r="L44" s="608" t="s">
        <v>288</v>
      </c>
      <c r="M44" s="608"/>
      <c r="N44" s="608"/>
      <c r="O44" s="609"/>
      <c r="P44" s="190" t="s">
        <v>145</v>
      </c>
      <c r="Q44" s="315">
        <f>IF($P$44="ja",SUMPRODUCT((WEEKDAY($B$14:$B$41,2)=1)*2),0)</f>
        <v>0</v>
      </c>
      <c r="R44" s="148"/>
      <c r="S44" s="161"/>
      <c r="T44" s="109"/>
      <c r="U44" s="109"/>
      <c r="V44" s="109"/>
      <c r="W44" s="109"/>
      <c r="X44" s="109"/>
      <c r="Y44" s="109"/>
      <c r="Z44" s="177"/>
      <c r="AA44" s="206"/>
      <c r="AB44" s="206"/>
      <c r="AC44" s="206"/>
      <c r="AD44" s="206"/>
      <c r="AE44" s="206"/>
      <c r="AF44" s="206"/>
      <c r="AG44" s="206"/>
      <c r="AH44" s="206"/>
    </row>
    <row r="45" spans="1:34" s="63" customFormat="1">
      <c r="A45" s="216"/>
      <c r="B45" s="180" t="str">
        <f>"Verrechnung von Sonderzahlungen, Überstunden, Nachtgutstunden und Nachtdiensten erfolgt im Folgemonat"&amp;" "&amp;Start!$B$17</f>
        <v>Verrechnung von Sonderzahlungen, Überstunden, Nachtgutstunden und Nachtdiensten erfolgt im Folgemonat März</v>
      </c>
      <c r="C45" s="158"/>
      <c r="D45" s="56"/>
      <c r="E45" s="56"/>
      <c r="F45" s="54"/>
      <c r="G45" s="54"/>
      <c r="H45" s="78"/>
      <c r="I45" s="78"/>
      <c r="J45" s="79"/>
      <c r="K45" s="79"/>
      <c r="L45" s="606" t="s">
        <v>289</v>
      </c>
      <c r="M45" s="606"/>
      <c r="N45" s="606"/>
      <c r="O45" s="607"/>
      <c r="P45" s="193" t="s">
        <v>291</v>
      </c>
      <c r="Q45" s="314" t="str">
        <f>IF($P$45="Freizeit","       als Gutstunden abgerechnet","       im Folgemonat ausbezahlt")</f>
        <v xml:space="preserve">       als Gutstunden abgerechnet</v>
      </c>
      <c r="R45" s="192"/>
      <c r="S45" s="181"/>
      <c r="T45" s="109"/>
      <c r="U45" s="109"/>
      <c r="V45" s="109"/>
      <c r="W45" s="109"/>
      <c r="X45" s="109"/>
      <c r="Y45" s="109"/>
      <c r="Z45" s="177"/>
      <c r="AA45" s="206"/>
      <c r="AB45" s="206"/>
      <c r="AC45" s="206"/>
      <c r="AD45" s="206"/>
      <c r="AE45" s="206"/>
      <c r="AF45" s="231"/>
      <c r="AG45" s="231"/>
      <c r="AH45" s="276"/>
    </row>
    <row r="47" spans="1:34" ht="15" thickBot="1"/>
    <row r="48" spans="1:34" hidden="1"/>
    <row r="49" spans="2:34" ht="15" hidden="1" thickBot="1"/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5374.6299999999992</v>
      </c>
      <c r="N50" s="540" t="str">
        <f>"Monatsprofil"&amp;" "&amp;Start!$B$16</f>
        <v>Monatsprofil Februar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COUNTIF($D$14:$E$41,"U")-COUNTIFS($D$14:$D$41,"U",$E$14:$E$41,"K")-COUNTIFS($D$14:$D$41,"U",$E$14:$E$41,"PK")</f>
        <v>0</v>
      </c>
      <c r="C51" s="403" t="s">
        <v>18</v>
      </c>
      <c r="D51" s="404">
        <f>SUMIFS($P$14:$P$41,$D$14:$D$41,"U")+SUMIFS($P$14:$P$41,$E$14:$E$41,"U")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IF(OR(Start!$D$8=Gehalt!$K$37,Start!$D$8=Gehalt!$K$39,Start!$D$8=Gehalt!$K$41),Gehalt!$D$29,0)</f>
        <v>0</v>
      </c>
      <c r="N51" s="543"/>
      <c r="O51" s="544"/>
      <c r="P51" s="545"/>
      <c r="T51" s="253" t="s">
        <v>392</v>
      </c>
      <c r="U51" s="110">
        <f>SUMPRODUCT(($U$14:$U$41)*(ISNUMBER(FIND("Ft",$A$14:$A$41))))+SUMPRODUCT((($U$14:$U$41)*1)*(WEEKDAY($B$14:$B$41,2)=7))-SUMPRODUCT((($U$14:$U$41)*1)*(WEEKDAY($B$14:$B$41,2)=7)*(ISNUMBER(FIND("Ft",$A$14:$A$41))))</f>
        <v>0</v>
      </c>
      <c r="V51" s="110">
        <f>SUMPRODUCT(($V$14:$V$41)*(ISNUMBER(FIND("Ft",$A$14:$A$41))))+SUMPRODUCT((($V$14:$V$41)*1)*(WEEKDAY($B$14:$B$41,2)=7))-SUMPRODUCT((($V$14:$V$41)*1)*(WEEKDAY($B$14:$B$41,2)=7)*(ISNUMBER(FIND("Ft",$A$14:$A$41))))</f>
        <v>0</v>
      </c>
      <c r="W51" s="110">
        <f>SUM($W$14:$W$41)</f>
        <v>0</v>
      </c>
      <c r="X51" s="438"/>
      <c r="Y51" s="439"/>
      <c r="Z51" s="253" t="s">
        <v>392</v>
      </c>
      <c r="AA51" s="203">
        <f>SUMPRODUCT(($AA$14:$AA$41)*(ISNUMBER(FIND("Ft",$A$14:$A$41))))+SUMPRODUCT((($AA$14:$AA$41)*1)*(WEEKDAY($B$14:$B$41,2)=7))-SUMPRODUCT((($AA$14:$AA$41)*1)*(WEEKDAY($B$14:$B$41,2)=7)*(ISNUMBER(FIND("Ft",$A$14:$A$41))))</f>
        <v>0</v>
      </c>
      <c r="AB51" s="203">
        <f>SUMPRODUCT(($AB$14:$AB$41)*(ISNUMBER(FIND("Ft",$A$14:$A$41))))+SUMPRODUCT((($AB$14:$AB$41)*1)*(WEEKDAY($B$14:$B$41,2)=7))-SUMPRODUCT((($AB$14:$AB$41)*1)*(WEEKDAY($B$14:$B$41,2)=7)*(ISNUMBER(FIND("Ft",$A$14:$A$41))))</f>
        <v>0</v>
      </c>
      <c r="AC51" s="203">
        <f>SUM($AC$14:$AC$41)</f>
        <v>0</v>
      </c>
      <c r="AD51" s="203">
        <f>SUM($AD$14:$AD$41)</f>
        <v>0</v>
      </c>
      <c r="AE51" s="206"/>
      <c r="AF51" s="177"/>
      <c r="AG51" s="253" t="s">
        <v>392</v>
      </c>
      <c r="AH51" s="203">
        <f>SUMPRODUCT(($AH$14:$AH$41)*(ISNUMBER(FIND("Ft",$A$14:$A$41))))+SUMPRODUCT((($AH$14:$AH$41)*1)*(WEEKDAY($B$14:$B$41,2)=7))-SUMPRODUCT((($AH$14:$AH$41)*1)*(WEEKDAY($B$14:$B$41,2)=7)*(ISNUMBER(FIND("Ft",$A$14:$A$41))))</f>
        <v>0</v>
      </c>
    </row>
    <row r="52" spans="2:34" s="84" customFormat="1" ht="13" customHeight="1">
      <c r="B52" s="321">
        <f>COUNTIF($D$14:$E$41,"ZA")-COUNTIFS($D$14:$D$41,"ZA",$E$14:$E$41,"K")-COUNTIFS($D$14:$D$41,"ZA",$E$14:$E$41,"PK")</f>
        <v>0</v>
      </c>
      <c r="C52" s="403" t="s">
        <v>21</v>
      </c>
      <c r="D52" s="406">
        <f>SUMIFS($P$14:$P$41,$D$14:$D$41,"ZA")+SUMIFS($P$14:$P$41,$E$14:$E$41,"ZA")-$J$42</f>
        <v>0</v>
      </c>
      <c r="E52" s="407">
        <f>IF($P$45="Freizeit",SUM($N$42*1.5,$O$42*2),0)+$J$54*1.5</f>
        <v>0</v>
      </c>
      <c r="G52" s="295" t="str">
        <f>"9545 Nachtdienstpauschale Gesamt ("&amp;""&amp;Gehalt!$D$25&amp;""&amp;"€/h)"</f>
        <v>9545 Nachtdienstpauschale Gesamt (30,47€/h)</v>
      </c>
      <c r="H52" s="141"/>
      <c r="I52" s="141"/>
      <c r="J52" s="141"/>
      <c r="K52" s="245">
        <f>SUM($AF$14:$AG$41)</f>
        <v>0</v>
      </c>
      <c r="L52" s="215">
        <f>$K$52*Gehalt!$D$25</f>
        <v>0</v>
      </c>
      <c r="N52" s="538" t="s">
        <v>236</v>
      </c>
      <c r="O52" s="539"/>
      <c r="P52" s="318">
        <f>VLOOKUP($B$8,Datenblatt!$A$100:$I$112,2,FALSE)</f>
        <v>28</v>
      </c>
      <c r="T52" s="254" t="s">
        <v>103</v>
      </c>
      <c r="U52" s="249">
        <f>SUM($U$14:$U$41)-$U$51</f>
        <v>0</v>
      </c>
      <c r="V52" s="249">
        <f>SUM($V$14:$V$41)-$V$51</f>
        <v>0</v>
      </c>
      <c r="W52" s="441"/>
      <c r="X52" s="440"/>
      <c r="Y52" s="439"/>
      <c r="Z52" s="255" t="s">
        <v>103</v>
      </c>
      <c r="AA52" s="203">
        <f>SUM($AA$14:$AA$41)-$AA$51</f>
        <v>0</v>
      </c>
      <c r="AB52" s="203">
        <f>SUM($AB$14:$AB$41)-$AB$51</f>
        <v>0</v>
      </c>
      <c r="AC52" s="437"/>
      <c r="AD52" s="204"/>
      <c r="AE52" s="206"/>
      <c r="AF52" s="177"/>
      <c r="AG52" s="255" t="s">
        <v>103</v>
      </c>
      <c r="AH52" s="203">
        <f>SUM($AH$14:$AH$41)-$AH$51</f>
        <v>0</v>
      </c>
    </row>
    <row r="53" spans="2:34" s="84" customFormat="1" ht="13" customHeight="1">
      <c r="B53" s="321">
        <f>COUNTIF($D$14:$E$41,"RG")-COUNTIFS($D$14:$D$41,"U",$E$14:$E$41,"RG")-COUNTIFS($D$14:$D$41,"RG",$E$14:$E$41,"PK")</f>
        <v>0</v>
      </c>
      <c r="C53" s="325" t="s">
        <v>131</v>
      </c>
      <c r="D53" s="404">
        <f>SUMIFS($P$14:$P$41,$D$14:$D$41,"RG")+SUMIFS($P$14:$P$41,$E$14:$E$41,"RG")</f>
        <v>0</v>
      </c>
      <c r="E53" s="408">
        <f>$Q$44</f>
        <v>0</v>
      </c>
      <c r="G53" s="295" t="str">
        <f>"9547 Sonn- und Feiertagszulage ("&amp;""&amp;Gehalt!$D$26&amp;""&amp;"€/h)"</f>
        <v>9547 Sonn- und Feiertagszulage (19,15€/h)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$K$53*Gehalt!$D$26</f>
        <v>0</v>
      </c>
      <c r="N53" s="538" t="s">
        <v>237</v>
      </c>
      <c r="O53" s="539"/>
      <c r="P53" s="318">
        <f>VLOOKUP($B$8,Datenblatt!$A$100:$I$112,3,FALSE)</f>
        <v>0</v>
      </c>
      <c r="T53" s="252" t="s">
        <v>393</v>
      </c>
      <c r="U53" s="103">
        <f>SUMPRODUCT(($U$14:$U$41)*(ISNUMBER(FIND("Ft",$A$14:$A$41))))+SUMPRODUCT((($U$14:$U$41)*1)*(WEEKDAY($B$14:$B$41,2)=7))-SUMPRODUCT((($U$14:$U$41)*1)*(WEEKDAY($B$14:$B$41,2)=7)*(ISNUMBER(FIND("Ft",$A$14:$A$41))))</f>
        <v>0</v>
      </c>
      <c r="V53" s="103">
        <f>SUMPRODUCT(($V$14:$V$41)*(ISNUMBER(FIND("Ft",$A$14:$A$41))))+SUMPRODUCT((($V$14:$V$41)*1)*(WEEKDAY($B$14:$B$41,2)=7))-SUMPRODUCT((($V$14:$V$41)*1)*(WEEKDAY($B$14:$B$41,2)=7)*(ISNUMBER(FIND("Ft",$A$14:$A$41))))+IF(SUMIFS($V$14:$V$41,$A$14:$A$41,"HFt")&gt;8,8,(SUMIFS($V$14:$V$41,$A$14:$A$41,"HFt")))</f>
        <v>0</v>
      </c>
      <c r="W53" s="442"/>
      <c r="X53" s="103">
        <f>SUMPRODUCT(($X$14:$X$41)*(ISNUMBER(FIND("Ft",$A$14:$A$41))))+SUMPRODUCT((($X$14:$X$41)*1)*(WEEKDAY($B$14:$B$41,2)=7))-SUMPRODUCT((($X$14:$X$41)*1)*(WEEKDAY($B$14:$B$41,2)=7)*(ISNUMBER(FIND("Ft",$A$14:$A$41))))+IF(SUMIFS($X$14:$X$41,$A$14:$A$41,"HFt")&gt;2,2,(SUMIFS($X$14:$X$41,$A$14:$A$41,"HFt")))</f>
        <v>0</v>
      </c>
      <c r="Y53" s="103">
        <f>SUMPRODUCT(($Y$14:$Y$41)*(ISNUMBER(FIND("Ft",$A$14:$A$41))))+SUMPRODUCT((($Y$14:$Y$41)*1)*(WEEKDAY($B$14:$B$41,2)=7))-SUMPRODUCT((($Y$14:$Y$41)*1)*(WEEKDAY($B$14:$B$41,2)=7)*(ISNUMBER(FIND("Ft",$A$14:$A$41))))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COUNTIF($D$14:$E$41,"NDG")-COUNTIFS($D$14:$D$41,"NDG",$E$14:$E$41,"K")-COUNTIFS($D$14:$D$41,"NDG",$E$14:$E$41,"PK")</f>
        <v>0</v>
      </c>
      <c r="C54" s="325" t="s">
        <v>130</v>
      </c>
      <c r="D54" s="404">
        <f>SUMIFS($P$14:$P$41,$D$14:$D$41,"NDG")+SUMIFS($P$14:$P$41,$E$14:$E$41,"NDG")</f>
        <v>0</v>
      </c>
      <c r="E54" s="408">
        <f>$N$6*2-COUNTIFS($D$14:$D$41,"ND",$E$14:$E$41,"K")*2-COUNTIFS($D$14:$D$41,"ND12,5",$E$14:$E$41,"K")*2-COUNTIFS($D$14:$D$41,"ND",$E$13:$E$40,"ND")*2-COUNTIFS($D$14:$D$41,"ND12,5",$E$13:$E$40,"ND")*2-COUNTIFS($D$14:$D$41,"ND",$E$13:$E$40,"ND12,5")*2</f>
        <v>0</v>
      </c>
      <c r="G54" s="535" t="s">
        <v>294</v>
      </c>
      <c r="H54" s="536"/>
      <c r="I54" s="537"/>
      <c r="J54" s="356">
        <v>0</v>
      </c>
      <c r="K54" s="214">
        <f>IF($P$45="finanziell",SUM($L$62),0)+$L$66+$L$70-$J$54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SUMIFS($M$14:$M$41,$D$14:$D$41,"U")</f>
        <v>0</v>
      </c>
      <c r="E55" s="405"/>
      <c r="G55" s="295" t="s">
        <v>226</v>
      </c>
      <c r="H55" s="141"/>
      <c r="I55" s="141"/>
      <c r="J55" s="141"/>
      <c r="K55" s="214">
        <f>IF($P$45="finanziell",SUM($L$63),0)+$L$71+$L$67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20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COUNTIF($D$14:$E$41,"SU")-COUNTIFS($D$14:$D$41,"SU",$E$14:$E$41,"K")-COUNTIFS($D$14:$D$41,"SU",$E$14:$E$41,"PK")</f>
        <v>0</v>
      </c>
      <c r="C56" s="325" t="s">
        <v>171</v>
      </c>
      <c r="D56" s="404">
        <f>SUMIFS($M$14:$M$41,$D$14:$D$41,"SU")</f>
        <v>0</v>
      </c>
      <c r="E56" s="405"/>
      <c r="G56" s="295" t="s">
        <v>284</v>
      </c>
      <c r="H56" s="141"/>
      <c r="I56" s="141"/>
      <c r="J56" s="141"/>
      <c r="K56" s="360">
        <f ca="1">IF(Jänner!$P$63-SUM(Start!$E$34:$E$37,Start!$E$15:$E$16)*2&lt;=0,0,Jänner!$P$63-SUM(Start!$E$34:$E$37,Start!$E$15:$E$16)*2)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20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COUNTIF($D$14:$E$41,"PK")</f>
        <v>0</v>
      </c>
      <c r="C57" s="325" t="s">
        <v>170</v>
      </c>
      <c r="D57" s="404">
        <f>SUMIFS($M$14:$M$41,$D$14:$D$41,"PK")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IF(OR(Start!$D$8=Gehalt!$K$37,Start!$D$8=Gehalt!$K$39,Start!$D$8=Gehalt!$K$41),SUMIFS($M$14:$M$41,$Q$14:$Q$41,"=Tagdienst*",$E$14:$E$41,"&lt;&gt;*")+SUMIFS($AH$14:$AH$41,$R$14:$R$41,"=Tagdienst*"),0)</f>
        <v>0</v>
      </c>
      <c r="L57" s="215">
        <f>$K$57*Gehalt!$D$28</f>
        <v>0</v>
      </c>
      <c r="N57" s="538" t="s">
        <v>235</v>
      </c>
      <c r="O57" s="539"/>
      <c r="P57" s="318">
        <f>VLOOKUP($B$8,Datenblatt!$A$100:$I$112,6,FALSE)</f>
        <v>160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COUNTIF($D$14:$E$41,"K")+COUNTIF($D$14:$E$41,"KA")</f>
        <v>0</v>
      </c>
      <c r="C58" s="325" t="s">
        <v>412</v>
      </c>
      <c r="D58" s="404">
        <f>SUMIFS($M$14:$M$41,$D$14:$D$41,"K")+SUMIFS($M$14:$M$41,$D$14:$D$41,"KA")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IF($J$58="ja",Gehalt!$D$27,0)</f>
        <v>0</v>
      </c>
      <c r="N58" s="546" t="str">
        <f>"Stundenkonto Monatsende"&amp;" "&amp;Start!$B$16</f>
        <v>Stundenkonto Monatsende Februar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COUNTIF($L$14:$L$41,"n.b.")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COUNTIF($D$14:$E$41,"DV")</f>
        <v>0</v>
      </c>
      <c r="C60" s="325" t="s">
        <v>110</v>
      </c>
      <c r="D60" s="404">
        <f>SUMIFS($P$14:$P$41,$D$14:$D$41,"DV")+SUMIFS($P$14:$P$41,$E$14:$E$41,"DV")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46.29</v>
      </c>
      <c r="N60" s="538" t="s">
        <v>233</v>
      </c>
      <c r="O60" s="539"/>
      <c r="P60" s="318">
        <f>Start!$C$32+SUM(Jänner:Februar!$D$51)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COUNTIF($D$14:$E$41,"WR")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61.72</v>
      </c>
      <c r="N61" s="538" t="s">
        <v>234</v>
      </c>
      <c r="O61" s="539"/>
      <c r="P61" s="319">
        <f>Start!$C$33+SUM(Jänner:Februar!$D$52)+SUM(Jänner:Februar!$E$52)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SUM($N$14:$N$41)</f>
        <v>0</v>
      </c>
      <c r="M62" s="84"/>
      <c r="N62" s="538" t="s">
        <v>147</v>
      </c>
      <c r="O62" s="539"/>
      <c r="P62" s="318">
        <f>Start!$C$34+SUM(Jänner:Februar!$D$53)+SUM(Jänner:Februar!$E$53)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SUM($O$14:$O$41)</f>
        <v>0</v>
      </c>
      <c r="M63" s="84"/>
      <c r="N63" s="610" t="s">
        <v>165</v>
      </c>
      <c r="O63" s="611"/>
      <c r="P63" s="320">
        <f ca="1">Start!$C$35+SUM(Jänner:Februar!$D$54)+SUM(Jänner:Februar!$E$54)-SUM(Jänner:Februar!$K$56)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SUM(Jänner:Februar!$D$51)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SUM(Jänner:Februar!$D$52)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SUM(Jänner:Februar!$D$53)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SUM(Jänner:Februar!$D$54)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SUM(Jänner:Februar!$B$56)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SUM(Jänner:Februar!$B$57)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SUM(Jänner:Februar!$B$58)</f>
        <v>0</v>
      </c>
    </row>
    <row r="73" spans="3:16" s="56" customFormat="1" ht="13" customHeight="1">
      <c r="D73" s="130"/>
      <c r="G73" s="340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4" t="s">
        <v>287</v>
      </c>
      <c r="H74" s="352"/>
      <c r="I74" s="151"/>
      <c r="J74" s="151"/>
      <c r="K74" s="151"/>
      <c r="L74" s="353">
        <f>VLOOKUP($B$8,Datenblatt!$A$100:$F$123,6,FALSE)-SUM($D$55:$D$58)</f>
        <v>160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SUMPRODUCT((WEEKDAY($B$13:$B$40,2)=6)*($D$13:$D$40="ND"))-SUMPRODUCT((WEEKDAY($B$13:$B$40,2)=6)*($D$13:$D$40="ND")*($A$13:$A$40="Ft"))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SUMPRODUCT((WEEKDAY($B$14:$B$41,2)=7)*($D$14:$D$41="ND"))-SUMPRODUCT((WEEKDAY($B$14:$B$41,2)=7)*($D$14:$D$41="ND")*($A$14:$A$41="Ft"))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SUMPRODUCT(($D$14:$D$41="ND")*($A$14:$A$41="Ft"))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SUMPRODUCT((WEEKDAY($C$13:$C$40,2)=7)*($D$13:$D$40="ND")*($A$14:$A$41="Ft"))-SUMPRODUCT((WEEKDAY($C$13:$C$40,2)=7)*($D$13:$D$40="ND")*($A$13:$A$40="Ft")*($A$14:$A$41="Ft"))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SUMPRODUCT(($A$13:$A$40="Ft")*($D$13:$D$40="ND")*($A$14:$A$41="Ft"))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SUMPRODUCT(($A$13:$A$40="Ft")*(WEEKDAY($C$14:$C$41,2)=7)*($D$13:$D$40="ND"))-SUMPRODUCT(($A$13:$A$40="Ft")*($A$14:$A$41="Ft")*(WEEKDAY($C$14:$C$41,2)=7)*($D$13:$D$40="ND"))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SUMPRODUCT(($A$14:$A$41="Ft")*(WEEKDAY($C$13:$C$40,2)&lt;6)*($D$13:$D$40="ND"))-(SUMPRODUCT(($A$14:$A$41="Ft")*($A$13:$A$40="Ft")*(WEEKDAY($C$13:$C$40,2)&lt;6)*($D$13:$D$40="ND")))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SUMPRODUCT((WEEKDAY($B$14:$B$41,2)=7)*($D$14:$D$41="TD"))+SUMPRODUCT(($D$14:$D$41="TD")*($A$14:$A$41="Ft"))-SUMPRODUCT((WEEKDAY($B$14:$B$41,2)=7)*($D$14:$D$41="TD")*($A$14:$A$41="Ft"))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SUMPRODUCT((WEEKDAY($B$14:$B$41,2)=7)*($D$14:$D$41="TD5,5"))+SUMPRODUCT(($D$14:$D$41="TD5,5")*($A$14:$A$41="Ft"))-SUMPRODUCT((WEEKDAY($B$14:$B$41,2)=7)*($D$14:$D$41="TD5,5")*($A$14:$A$41="Ft"))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SUMPRODUCT((WEEKDAY($B$14:$B$41,2)=7)*($D$14:$D$41="TD6"))+SUMPRODUCT(($D$14:$D$41="TD6")*($A$14:$A$41="Ft"))-SUMPRODUCT((WEEKDAY($B$14:$B$41,2)=7)*($D$14:$D$41="TD6")*($A$14:$A$41="Ft"))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SUMPRODUCT((WEEKDAY($B$14:$B$41,2)=7)*($D$14:$D$41="TD6,25"))+SUMPRODUCT(($D$14:$D$41="TD6,25")*($A$14:$A$41="Ft"))-SUMPRODUCT((WEEKDAY($B$14:$B$41,2)=7)*($D$14:$D$41="TD6,25")*($A$14:$A$41="Ft"))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SUMPRODUCT((WEEKDAY($B$14:$B$41,2)=7)*($D$14:$D$41="TD6,5"))+SUMPRODUCT(($D$14:$D$41="TD6,5")*($A$14:$A$41="Ft"))-SUMPRODUCT((WEEKDAY($B$14:$B$41,2)=7)*($D$14:$D$41="TD6,5")*($A$14:$A$41="Ft"))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SUMPRODUCT((WEEKDAY($B$14:$B$41,2)=7)*($D$14:$D$41="TD7"))+SUMPRODUCT(($D$14:$D$41="TD7")*($A$14:$A$41="Ft"))-SUMPRODUCT((WEEKDAY($B$14:$B$41,2)=7)*($D$14:$D$41="TD7")*($A$14:$A$41="Ft"))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SUMPRODUCT((WEEKDAY($B$14:$B$41,2)=7)*($D$14:$D$41="TD7,5"))+SUMPRODUCT(($D$14:$D$41="TD7,5")*($A$14:$A$41="Ft"))-SUMPRODUCT((WEEKDAY($B$14:$B$41,2)=7)*($D$14:$D$41="TD7,5")*($A$14:$A$41="Ft"))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SUMPRODUCT((WEEKDAY($B$14:$B$41,2)=7)*($D$14:$D$41="TD8"))+SUMPRODUCT(($D$14:$D$41="TD8")*($A$14:$A$41="Ft"))-SUMPRODUCT((WEEKDAY($B$14:$B$41,2)=7)*($D$14:$D$41="TD8")*($A$14:$A$41="Ft"))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SUMPRODUCT((WEEKDAY($B$14:$B$41,2)=7)*($D$14:$D$41="TD8,5"))+SUMPRODUCT(($D$14:$D$41="TD8,5")*($A$14:$A$41="Ft"))-SUMPRODUCT((WEEKDAY($B$14:$B$41,2)=7)*($D$14:$D$41="TD8,5")*($A$14:$A$41="Ft"))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SUMPRODUCT((WEEKDAY($B$14:$B$41,2)=7)*($D$14:$D$41="TD9"))+SUMPRODUCT(($D$14:$D$41="TD9")*($A$14:$A$41="Ft"))-SUMPRODUCT((WEEKDAY($B$14:$B$41,2)=7)*($D$14:$D$41="TD9")*($A$14:$A$41="Ft"))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SUMPRODUCT((WEEKDAY($B$14:$B$41,2)=7)*($D$14:$D$41="TD9,5"))+SUMPRODUCT(($D$14:$D$41="TD9,5")*($A$14:$A$41="Ft"))-SUMPRODUCT((WEEKDAY($B$14:$B$41,2)=7)*($D$14:$D$41="TD9,5")*($A$14:$A$41="Ft"))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SUMPRODUCT((WEEKDAY($B$14:$B$41,2)=7)*($D$14:$D$41="TD10"))+SUMPRODUCT(($D$14:$D$41="TD10")*($A$14:$A$41="Ft"))-SUMPRODUCT((WEEKDAY($B$14:$B$41,2)=7)*($D$14:$D$41="TD10")*($A$14:$A$41="Ft"))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SUMPRODUCT((WEEKDAY($B$14:$B$41,2)=7)*($D$14:$D$41="TD10,5"))+SUMPRODUCT(($D$14:$D$41="TD10,5")*($A$14:$A$41="Ft"))-SUMPRODUCT((WEEKDAY($B$14:$B$41,2)=7)*($D$14:$D$41="TD10,5")*($A$14:$A$41="Ft"))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SUMPRODUCT((WEEKDAY($B$14:$B$41,2)=7)*($D$14:$D$41="TD11"))+SUMPRODUCT(($D$14:$D$41="TD11")*($A$14:$A$41="Ft"))-SUMPRODUCT((WEEKDAY($B$14:$B$41,2)=7)*($D$14:$D$41="TD11")*($A$14:$A$41="Ft"))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SUMPRODUCT((WEEKDAY($B$14:$B$41,2)=7)*($D$14:$D$41="TD11,5"))+SUMPRODUCT(($D$14:$D$41="TD11,5")*($A$14:$A$41="Ft"))-SUMPRODUCT((WEEKDAY($B$14:$B$41,2)=7)*($D$14:$D$41="TD11,5")*($A$14:$A$41="Ft"))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SUMPRODUCT((WEEKDAY($B$14:$B$41,2)=7)*($D$14:$D$41="TD12"))+SUMPRODUCT(($D$14:$D$41="TD12")*($A$14:$A$41="Ft"))-SUMPRODUCT((WEEKDAY($B$14:$B$41,2)=7)*($D$14:$D$41="TD12")*($A$14:$A$41="Ft"))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SUMPRODUCT((WEEKDAY($B$14:$B$41,2)=7)*($D$14:$D$41="TD12,5"))+SUMPRODUCT(($D$14:$D$41="TD12,5")*($A$14:$A$41="Ft"))-SUMPRODUCT((WEEKDAY($B$14:$B$41,2)=7)*($D$14:$D$41="TD12,5")*($A$14:$A$41="Ft"))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SUMPRODUCT((WEEKDAY($B$13:$B$40,2)=6)*($D$13:$D$40="ND12,5"))-SUMPRODUCT((WEEKDAY($B$13:$B$40,2)=6)*($D$13:$D$40="ND12,5")*($A$13:$A$40="Ft"))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SUMPRODUCT((WEEKDAY($B$14:$B$41,2)=7)*($D$14:$D$41="ND12,5"))-SUMPRODUCT((WEEKDAY($B$14:$B$41,2)=7)*($D$14:$D$41="ND12,5")*($A$14:$A$41="Ft"))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SUMPRODUCT(($D$14:$D$41="ND12,5")*($A$14:$A$41="Ft"))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SUMPRODUCT((WEEKDAY($C$13:$C$40,2)=7)*($D$13:$D$40="ND12,5")*($A$14:$A$41="Ft"))-SUMPRODUCT((WEEKDAY($C$13:$C$40,2)=7)*($D$13:$D$40="ND12,5")*($A$13:$A$40="Ft")*($A$14:$A$41="Ft"))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SUMPRODUCT(($A$13:$A$40="Ft")*($D$13:$D$40="ND12,5")*($A$14:$A$41="Ft"))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SUMPRODUCT(($A$13:$A$40="Ft")*(WEEKDAY($C$14:$C$41,2)=7)*($D$13:$D$40="ND12,5"))-SUMPRODUCT(($A$13:$A$40="Ft")*($A$14:$A$41="Ft")*(WEEKDAY($C$14:$C$41,2)=7)*($D$13:$D$40="ND12,5"))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SUMPRODUCT(($A$14:$A$41="Ft")*(WEEKDAY($C$13:$C$40,2)&lt;6)*($D$13:$D$40="ND12,5"))-(SUMPRODUCT(($A$14:$A$41="Ft")*($A$13:$A$40="Ft")*(WEEKDAY($C$13:$C$40,2)&lt;6)*($D$13:$D$40="ND12,5")))</f>
        <v>0</v>
      </c>
    </row>
  </sheetData>
  <sheetProtection algorithmName="SHA-512" hashValue="hp1E4+Q293MpNMxiWKkQaYE8Fsk2rwD68F6rSj9VvzH+cXFxV+rIMZMZ3ocCV0zVooga9//IsxYrgQNWBxklag==" saltValue="CEBKnEMmKuxVuuMaJOcpRw==" spinCount="100000" sheet="1" selectLockedCells="1"/>
  <mergeCells count="63">
    <mergeCell ref="AG10:AG11"/>
    <mergeCell ref="S9:S11"/>
    <mergeCell ref="P9:P11"/>
    <mergeCell ref="O9:O11"/>
    <mergeCell ref="Q9:Q11"/>
    <mergeCell ref="R9:R11"/>
    <mergeCell ref="AF10:AF11"/>
    <mergeCell ref="U10:Y10"/>
    <mergeCell ref="AA10:AE10"/>
    <mergeCell ref="C50:D50"/>
    <mergeCell ref="N50:P51"/>
    <mergeCell ref="N62:O62"/>
    <mergeCell ref="N52:O52"/>
    <mergeCell ref="N53:O53"/>
    <mergeCell ref="N54:O54"/>
    <mergeCell ref="N58:P59"/>
    <mergeCell ref="N61:O61"/>
    <mergeCell ref="G54:I54"/>
    <mergeCell ref="N60:O60"/>
    <mergeCell ref="N55:O55"/>
    <mergeCell ref="N56:O56"/>
    <mergeCell ref="N57:O57"/>
    <mergeCell ref="E7:G7"/>
    <mergeCell ref="H7:J7"/>
    <mergeCell ref="B6:E6"/>
    <mergeCell ref="B3:J4"/>
    <mergeCell ref="N5:P5"/>
    <mergeCell ref="K5:M5"/>
    <mergeCell ref="B5:E5"/>
    <mergeCell ref="F5:J5"/>
    <mergeCell ref="F6:J6"/>
    <mergeCell ref="N6:P6"/>
    <mergeCell ref="K7:M7"/>
    <mergeCell ref="N7:P7"/>
    <mergeCell ref="B7:C7"/>
    <mergeCell ref="K6:M6"/>
    <mergeCell ref="N13:O13"/>
    <mergeCell ref="J9:J11"/>
    <mergeCell ref="B9:C11"/>
    <mergeCell ref="D9:D11"/>
    <mergeCell ref="N8:P8"/>
    <mergeCell ref="B8:C8"/>
    <mergeCell ref="K8:M8"/>
    <mergeCell ref="H9:I10"/>
    <mergeCell ref="K9:K11"/>
    <mergeCell ref="L9:L11"/>
    <mergeCell ref="M9:M11"/>
    <mergeCell ref="E8:G8"/>
    <mergeCell ref="H8:J8"/>
    <mergeCell ref="E9:E11"/>
    <mergeCell ref="N9:N11"/>
    <mergeCell ref="F9:G10"/>
    <mergeCell ref="N70:O70"/>
    <mergeCell ref="N71:O71"/>
    <mergeCell ref="N72:O72"/>
    <mergeCell ref="L44:O44"/>
    <mergeCell ref="L45:O45"/>
    <mergeCell ref="N69:O69"/>
    <mergeCell ref="N67:O67"/>
    <mergeCell ref="N68:O68"/>
    <mergeCell ref="N64:P65"/>
    <mergeCell ref="N66:O66"/>
    <mergeCell ref="N63:O63"/>
  </mergeCells>
  <conditionalFormatting sqref="A13:A41">
    <cfRule type="cellIs" dxfId="509" priority="2" operator="equal">
      <formula>"HFT"</formula>
    </cfRule>
    <cfRule type="cellIs" dxfId="508" priority="3" operator="equal">
      <formula>"FT"</formula>
    </cfRule>
  </conditionalFormatting>
  <conditionalFormatting sqref="A42">
    <cfRule type="cellIs" dxfId="507" priority="117" operator="equal">
      <formula>"Ft"</formula>
    </cfRule>
  </conditionalFormatting>
  <conditionalFormatting sqref="B27">
    <cfRule type="expression" priority="83">
      <formula>#REF!&gt;72</formula>
    </cfRule>
  </conditionalFormatting>
  <conditionalFormatting sqref="B13:C41">
    <cfRule type="expression" dxfId="505" priority="118">
      <formula>WEEKDAY($C13,2)&gt;5</formula>
    </cfRule>
  </conditionalFormatting>
  <conditionalFormatting sqref="E8">
    <cfRule type="cellIs" dxfId="504" priority="34" operator="greaterThan">
      <formula>48</formula>
    </cfRule>
  </conditionalFormatting>
  <conditionalFormatting sqref="I44:K44">
    <cfRule type="cellIs" dxfId="503" priority="72" operator="equal">
      <formula>"Wochenarbeitszeit überschritten"</formula>
    </cfRule>
  </conditionalFormatting>
  <conditionalFormatting sqref="J42:P42">
    <cfRule type="cellIs" dxfId="502" priority="91" operator="equal">
      <formula>0</formula>
    </cfRule>
  </conditionalFormatting>
  <conditionalFormatting sqref="K8">
    <cfRule type="cellIs" dxfId="501" priority="103" operator="equal">
      <formula>$N$8</formula>
    </cfRule>
    <cfRule type="cellIs" dxfId="500" priority="104" operator="greaterThan">
      <formula>$N$8</formula>
    </cfRule>
    <cfRule type="cellIs" dxfId="499" priority="105" operator="lessThan">
      <formula>$N$8</formula>
    </cfRule>
  </conditionalFormatting>
  <conditionalFormatting sqref="K14:K41">
    <cfRule type="cellIs" dxfId="498" priority="22" operator="lessThanOrEqual">
      <formula>0</formula>
    </cfRule>
    <cfRule type="cellIs" dxfId="497" priority="23" operator="greaterThan">
      <formula>0</formula>
    </cfRule>
  </conditionalFormatting>
  <conditionalFormatting sqref="K42">
    <cfRule type="cellIs" dxfId="496" priority="112" operator="lessThan">
      <formula>0</formula>
    </cfRule>
  </conditionalFormatting>
  <conditionalFormatting sqref="N14:P41 T14:T41 X14:AH41">
    <cfRule type="cellIs" dxfId="495" priority="116" operator="equal">
      <formula>0</formula>
    </cfRule>
  </conditionalFormatting>
  <conditionalFormatting sqref="P13">
    <cfRule type="cellIs" dxfId="494" priority="106" operator="equal">
      <formula>0</formula>
    </cfRule>
  </conditionalFormatting>
  <conditionalFormatting sqref="P60:P63">
    <cfRule type="cellIs" dxfId="493" priority="48" operator="lessThan">
      <formula>0</formula>
    </cfRule>
  </conditionalFormatting>
  <conditionalFormatting sqref="Q44">
    <cfRule type="cellIs" dxfId="492" priority="37" operator="equal">
      <formula>0</formula>
    </cfRule>
  </conditionalFormatting>
  <conditionalFormatting sqref="T51:W51">
    <cfRule type="cellIs" dxfId="491" priority="19" operator="equal">
      <formula>0</formula>
    </cfRule>
  </conditionalFormatting>
  <conditionalFormatting sqref="T42:AH42">
    <cfRule type="cellIs" dxfId="490" priority="43" operator="equal">
      <formula>0</formula>
    </cfRule>
  </conditionalFormatting>
  <conditionalFormatting sqref="U15:W41">
    <cfRule type="cellIs" dxfId="489" priority="110" operator="equal">
      <formula>0</formula>
    </cfRule>
  </conditionalFormatting>
  <conditionalFormatting sqref="U51:Y53">
    <cfRule type="cellIs" dxfId="488" priority="9" operator="equal">
      <formula>0</formula>
    </cfRule>
  </conditionalFormatting>
  <conditionalFormatting sqref="V14">
    <cfRule type="cellIs" dxfId="487" priority="115" operator="equal">
      <formula>0</formula>
    </cfRule>
  </conditionalFormatting>
  <conditionalFormatting sqref="V13:Z13">
    <cfRule type="cellIs" dxfId="486" priority="68" operator="equal">
      <formula>0</formula>
    </cfRule>
  </conditionalFormatting>
  <conditionalFormatting sqref="W52">
    <cfRule type="cellIs" dxfId="485" priority="13" operator="equal">
      <formula>0</formula>
    </cfRule>
  </conditionalFormatting>
  <conditionalFormatting sqref="Z51:AC51">
    <cfRule type="cellIs" dxfId="484" priority="17" operator="equal">
      <formula>0</formula>
    </cfRule>
  </conditionalFormatting>
  <conditionalFormatting sqref="AA51:AE52">
    <cfRule type="cellIs" dxfId="483" priority="14" operator="equal">
      <formula>0</formula>
    </cfRule>
  </conditionalFormatting>
  <conditionalFormatting sqref="AC13:AG13">
    <cfRule type="cellIs" dxfId="482" priority="61" operator="equal">
      <formula>0</formula>
    </cfRule>
  </conditionalFormatting>
  <conditionalFormatting sqref="AG51:AH51">
    <cfRule type="cellIs" dxfId="481" priority="8" operator="equal">
      <formula>0</formula>
    </cfRule>
  </conditionalFormatting>
  <conditionalFormatting sqref="AH51:AH52">
    <cfRule type="cellIs" dxfId="480" priority="6" operator="equal">
      <formula>0</formula>
    </cfRule>
  </conditionalFormatting>
  <dataValidations count="4">
    <dataValidation type="decimal" allowBlank="1" showInputMessage="1" showErrorMessage="1" error="Die ausgewählte Stundenanzahl steht nicht zur Verfügung!" sqref="J54" xr:uid="{00000000-0002-0000-0400-000003000000}">
      <formula1>0</formula1>
      <formula2>K54</formula2>
    </dataValidation>
    <dataValidation type="list" allowBlank="1" showInputMessage="1" showErrorMessage="1" sqref="J14:J41" xr:uid="{3ADB10F8-75C7-4DD3-B66A-8308239BD0F1}">
      <formula1>AbwesenheitenStunden</formula1>
    </dataValidation>
    <dataValidation type="list" allowBlank="1" showInputMessage="1" showErrorMessage="1" error="Die Eingabe ist unzulässig_x000a_Bitte Drop Down Felder verwenden" sqref="F14:G41" xr:uid="{C53D7533-8E58-4DED-8756-B867590851B2}">
      <formula1>Zeiten1</formula1>
    </dataValidation>
    <dataValidation type="list" allowBlank="1" showInputMessage="1" showErrorMessage="1" sqref="H14:I41" xr:uid="{F02EE646-EFF1-4DD9-9188-9348FA92264B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ignoredErrors>
    <ignoredError sqref="U52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9" id="{8993C561-9BC5-4482-925A-2E25A80C938E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7000000}">
          <x14:formula1>
            <xm:f>Datenblatt!$A$31:$A$51</xm:f>
          </x14:formula1>
          <xm:sqref>A43 AF45:AG46 L43:XFD43</xm:sqref>
        </x14:dataValidation>
        <x14:dataValidation type="list" allowBlank="1" showInputMessage="1" showErrorMessage="1" xr:uid="{00000000-0002-0000-0400-000008000000}">
          <x14:formula1>
            <xm:f>Datenblatt!$D$52:$D$53</xm:f>
          </x14:formula1>
          <xm:sqref>P45</xm:sqref>
        </x14:dataValidation>
        <x14:dataValidation type="list" allowBlank="1" showInputMessage="1" showErrorMessage="1" xr:uid="{9192DF70-C825-401A-B8DA-596F47AD1D81}">
          <x14:formula1>
            <xm:f>Datenblatt!$D$58:$D$59</xm:f>
          </x14:formula1>
          <xm:sqref>P44 J58</xm:sqref>
        </x14:dataValidation>
        <x14:dataValidation type="list" allowBlank="1" showInputMessage="1" showErrorMessage="1" xr:uid="{CF2E697F-8567-495B-AEE4-E75F2F1CD5B1}">
          <x14:formula1>
            <xm:f>IF((WEEKDAY(C14,2)&gt;=6),SF,IF((COUNTIF(Datenblatt!$B$84:$B$97,C14)=1),SF,IF(OR(D14="U",D14="ZA",D14="NDG",D14="SU",D14="PK",D14="RG",D14="Z0",D14="K",D14="WR"),SF,SpA)))</xm:f>
          </x14:formula1>
          <xm:sqref>E14:E41</xm:sqref>
        </x14:dataValidation>
        <x14:dataValidation type="list" allowBlank="1" showInputMessage="1" showErrorMessage="1" xr:uid="{35551D39-2DD9-4C4D-94A5-EDA630B8F4FA}">
          <x14:formula1>
            <xm:f>IF((WEEKDAY(C14,2)&gt;=6),SF,IF((COUNTIF(Datenblatt!$B$84:$C$97,C14)=1),SF,Tagespräsenz))</xm:f>
          </x14:formula1>
          <xm:sqref>D14:D41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IF(SUM(N14:O44,L13:L44,AA51:AD51,AA52:AB52)=0,Datenblatt!J102,SUM(N14:O44,L13:L44,AA51:AD51,AA52:AB52,AH51:AH52))</f>
        <v>211.20000000000002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DATE($D$8,3,1)</f>
        <v>46082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176</v>
      </c>
      <c r="O8" s="555"/>
      <c r="P8" s="556"/>
      <c r="Q8" s="491">
        <f ca="1">IF($L$50="","",SUM($L$50:$L$59))</f>
        <v>5374.6299999999992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46081</v>
      </c>
      <c r="C13" s="139">
        <f>C14-1</f>
        <v>46081</v>
      </c>
      <c r="D13" s="143" t="str">
        <f>IF(Februar!D$41="","",Februar!D$41)</f>
        <v/>
      </c>
      <c r="E13" s="140" t="str">
        <f>IF(Februar!E$41="","",Februar!E$41)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46082</v>
      </c>
      <c r="C14" s="81">
        <f>DATE($D$8,MONTH(B$8),1)</f>
        <v>46082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46083</v>
      </c>
      <c r="C15" s="82">
        <f t="shared" ref="C15:C41" si="4">C14+1</f>
        <v>46083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5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ref="Z15:Z44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7">IF(OR(E15="ND",E15="ND12,5"),2,0)</f>
        <v>0</v>
      </c>
      <c r="AD15" s="203">
        <f t="shared" ref="AD15:AD44" si="8">IF(OR(E14="ND",E14="ND12,5"),6,0)</f>
        <v>0</v>
      </c>
      <c r="AE15" s="203">
        <f t="shared" ref="AE15:AE44" si="9">IF(AND(E14="ND",AA15&gt;=2),1,IF(AND(E14="ND12,5",AA15&gt;=2),0.5,0))</f>
        <v>0</v>
      </c>
      <c r="AF15" s="103">
        <f t="shared" ref="AF15:AF44" si="10">IF(OR(D15="ND",D15="ND12,5"),2-X15,0)</f>
        <v>0</v>
      </c>
      <c r="AG15" s="103">
        <f t="shared" ref="AG15:AG44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46084</v>
      </c>
      <c r="C16" s="82">
        <f t="shared" si="4"/>
        <v>46084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46085</v>
      </c>
      <c r="C17" s="82">
        <f t="shared" si="4"/>
        <v>46085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46086</v>
      </c>
      <c r="C18" s="82">
        <f t="shared" si="4"/>
        <v>46086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46087</v>
      </c>
      <c r="C19" s="82">
        <f t="shared" si="4"/>
        <v>46087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46088</v>
      </c>
      <c r="C20" s="82">
        <f t="shared" si="4"/>
        <v>46088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46089</v>
      </c>
      <c r="C21" s="82">
        <f t="shared" si="4"/>
        <v>46089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>
        <f t="shared" si="3"/>
        <v>0</v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46090</v>
      </c>
      <c r="C22" s="82">
        <f t="shared" si="4"/>
        <v>46090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46091</v>
      </c>
      <c r="C23" s="82">
        <f t="shared" si="4"/>
        <v>46091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46092</v>
      </c>
      <c r="C24" s="82">
        <f t="shared" si="4"/>
        <v>46092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46093</v>
      </c>
      <c r="C25" s="82">
        <f t="shared" si="4"/>
        <v>46093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46094</v>
      </c>
      <c r="C26" s="82">
        <f t="shared" si="4"/>
        <v>46094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46095</v>
      </c>
      <c r="C27" s="82">
        <f t="shared" si="4"/>
        <v>46095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46096</v>
      </c>
      <c r="C28" s="82">
        <f t="shared" si="4"/>
        <v>46096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>
        <f t="shared" si="3"/>
        <v>0</v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46097</v>
      </c>
      <c r="C29" s="82">
        <f t="shared" si="4"/>
        <v>46097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46098</v>
      </c>
      <c r="C30" s="82">
        <f t="shared" si="4"/>
        <v>46098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46099</v>
      </c>
      <c r="C31" s="82">
        <f t="shared" si="4"/>
        <v>46099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46100</v>
      </c>
      <c r="C32" s="82">
        <f t="shared" si="4"/>
        <v>46100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46101</v>
      </c>
      <c r="C33" s="82">
        <f t="shared" si="4"/>
        <v>46101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46102</v>
      </c>
      <c r="C34" s="82">
        <f t="shared" si="4"/>
        <v>46102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46103</v>
      </c>
      <c r="C35" s="82">
        <f t="shared" si="4"/>
        <v>46103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>
        <f t="shared" si="3"/>
        <v>0</v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46104</v>
      </c>
      <c r="C36" s="82">
        <f t="shared" si="4"/>
        <v>46104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46105</v>
      </c>
      <c r="C37" s="82">
        <f t="shared" si="4"/>
        <v>46105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46106</v>
      </c>
      <c r="C38" s="82">
        <f t="shared" si="4"/>
        <v>46106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46107</v>
      </c>
      <c r="C39" s="82">
        <f t="shared" si="4"/>
        <v>46107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46108</v>
      </c>
      <c r="C40" s="82">
        <f t="shared" si="4"/>
        <v>46108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46109</v>
      </c>
      <c r="C41" s="82">
        <f t="shared" si="4"/>
        <v>46109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46110</v>
      </c>
      <c r="C42" s="82">
        <f>C41+1</f>
        <v>46110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>
        <f t="shared" si="3"/>
        <v>0</v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5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46111</v>
      </c>
      <c r="C43" s="83">
        <f>C42+1</f>
        <v>46111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46112</v>
      </c>
      <c r="C44" s="150">
        <f>C43+1</f>
        <v>46112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 t="str">
        <f t="shared" si="3"/>
        <v/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5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6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7"/>
        <v>0</v>
      </c>
      <c r="AD44" s="203">
        <f t="shared" si="8"/>
        <v>0</v>
      </c>
      <c r="AE44" s="203">
        <f t="shared" si="9"/>
        <v>0</v>
      </c>
      <c r="AF44" s="103">
        <f t="shared" si="10"/>
        <v>0</v>
      </c>
      <c r="AG44" s="103">
        <f t="shared" si="11"/>
        <v>0</v>
      </c>
      <c r="AH44" s="103">
        <f>IF(E44="",0,VLOOKUP(E44,Datenblatt!$E$2:$G$28,3,FALSE))</f>
        <v>0</v>
      </c>
    </row>
    <row r="45" spans="1:34" ht="13" customHeight="1" thickBo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2">SUM(N14:N44)</f>
        <v>0</v>
      </c>
      <c r="O45" s="210">
        <f t="shared" si="12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"&amp;Start!$B$18</f>
        <v>Verrechnung von Sonderzahlungen, Überstunden, Nachtgutstunden und Nachtdiensten erfolgt im Folgemonat April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5374.6299999999992</v>
      </c>
      <c r="N50" s="540" t="str">
        <f>"Monatsprofil"&amp;" "&amp;Start!$B$17</f>
        <v>Monatsprofil März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IF(OR(Start!$D$8=Gehalt!$K$37,Start!$D$8=Gehalt!$K$39,Start!$D$8=Gehalt!$K$41),Gehalt!$E$29,0)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("&amp;""&amp;Gehalt!$E$25&amp;""&amp;"€/h)"</f>
        <v>9545 Nachtdienstpauschale Gesamt (30,47€/h)</v>
      </c>
      <c r="H52" s="141"/>
      <c r="I52" s="141"/>
      <c r="J52" s="141"/>
      <c r="K52" s="245">
        <f>SUM($AF$14:$AG$44)</f>
        <v>0</v>
      </c>
      <c r="L52" s="215">
        <f>$K$52*Gehalt!$E$25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("&amp;""&amp;Gehalt!$E$26&amp;""&amp;"€/h)"</f>
        <v>9547 Sonn- und Feiertagszulage (19,15€/h)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$K$53*Gehalt!$E$26</f>
        <v>0</v>
      </c>
      <c r="N53" s="538" t="s">
        <v>237</v>
      </c>
      <c r="O53" s="539"/>
      <c r="P53" s="318">
        <f>VLOOKUP($B$8,Datenblatt!$A$100:$I$112,3,FALSE)</f>
        <v>0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9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22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IF(Februar!$P$63-SUM(Start!$E$35:$E$37,Start!$E$15:$E$17)*2&lt;=0,0,Februar!$P$63-SUM(Start!$E$35:$E$37,Start!$E$15:$E$17)*2)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22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$K$57*Gehalt!$E$28</f>
        <v>0</v>
      </c>
      <c r="N57" s="538" t="s">
        <v>235</v>
      </c>
      <c r="O57" s="539"/>
      <c r="P57" s="318">
        <f>VLOOKUP($B$8,Datenblatt!$A$100:$I$112,6,FALSE)</f>
        <v>176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IF($J$58="ja",Gehalt!$E$27,0)</f>
        <v>0</v>
      </c>
      <c r="N58" s="546" t="str">
        <f>"Stundenkonto Monatsende"&amp;" "&amp;Start!$B$17</f>
        <v>Stundenkonto Monatsende März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46.29</v>
      </c>
      <c r="N60" s="538" t="s">
        <v>233</v>
      </c>
      <c r="O60" s="539"/>
      <c r="P60" s="318">
        <f>Start!$C$32+SUM(Jänner:März!$D$51)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61.72</v>
      </c>
      <c r="N61" s="538" t="s">
        <v>234</v>
      </c>
      <c r="O61" s="539"/>
      <c r="P61" s="319">
        <f>Start!$C$33+SUM(Jänner:März!$D$52)+SUM(Jänner:März!$E$52)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Start!$C$34+SUM(Jänner:März!$D$53)+SUM(Jänner:März!$E$53)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Start!$C$35+SUM(Jänner:März!$D$54)+SUM(Jänner:März!$E$54)-SUM(Jänner:März!$K$56)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SUM(Jänner:März!$D$51)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SUM(Jänner:März!$D$52)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SUM(Jänner:März!$D$53)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SUM(Jänner:März!$D$54)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SUM(Jänner:März!$B$56)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SUM(Jänner:März!$B$57)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SUM(Jänner:März!$B$58)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176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Z0h0TqrsbX5jHP4sWfcJC/5oVxtjWDoQWEU2kWtBpXElDOnIyK5cLSsCCOg3Ok5OerBTmgJlf++zFFAgp0esqQ==" saltValue="f2wDPHAx2PCXneMtqlXvEA==" spinCount="100000" sheet="1" selectLockedCells="1"/>
  <mergeCells count="63">
    <mergeCell ref="L48:O48"/>
    <mergeCell ref="N55:O55"/>
    <mergeCell ref="N56:O56"/>
    <mergeCell ref="N57:O57"/>
    <mergeCell ref="N13:O13"/>
    <mergeCell ref="K5:M5"/>
    <mergeCell ref="K6:M6"/>
    <mergeCell ref="N6:P6"/>
    <mergeCell ref="N5:P5"/>
    <mergeCell ref="K8:M8"/>
    <mergeCell ref="N8:P8"/>
    <mergeCell ref="K7:M7"/>
    <mergeCell ref="N7:P7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58:P59"/>
    <mergeCell ref="N61:O61"/>
    <mergeCell ref="C50:D50"/>
    <mergeCell ref="G54:I54"/>
    <mergeCell ref="N50:P51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8:O68"/>
    <mergeCell ref="N69:O69"/>
    <mergeCell ref="N67:O67"/>
    <mergeCell ref="N63:O63"/>
  </mergeCells>
  <conditionalFormatting sqref="A13:A44">
    <cfRule type="cellIs" dxfId="479" priority="8" operator="equal">
      <formula>"HFT"</formula>
    </cfRule>
    <cfRule type="cellIs" dxfId="478" priority="9" operator="equal">
      <formula>"FT"</formula>
    </cfRule>
  </conditionalFormatting>
  <conditionalFormatting sqref="A45">
    <cfRule type="cellIs" dxfId="477" priority="289" operator="equal">
      <formula>"Ft"</formula>
    </cfRule>
  </conditionalFormatting>
  <conditionalFormatting sqref="B13:C44">
    <cfRule type="expression" dxfId="476" priority="290">
      <formula>WEEKDAY($C13,2)&gt;5</formula>
    </cfRule>
  </conditionalFormatting>
  <conditionalFormatting sqref="E8">
    <cfRule type="cellIs" dxfId="474" priority="43" operator="greaterThan">
      <formula>48</formula>
    </cfRule>
  </conditionalFormatting>
  <conditionalFormatting sqref="I47:K47">
    <cfRule type="cellIs" dxfId="473" priority="116" operator="equal">
      <formula>"Wochenarbeitszeit überschritten"</formula>
    </cfRule>
  </conditionalFormatting>
  <conditionalFormatting sqref="J45:P45">
    <cfRule type="cellIs" dxfId="472" priority="159" operator="equal">
      <formula>0</formula>
    </cfRule>
  </conditionalFormatting>
  <conditionalFormatting sqref="K8">
    <cfRule type="cellIs" dxfId="471" priority="206" operator="equal">
      <formula>$N$8</formula>
    </cfRule>
    <cfRule type="cellIs" dxfId="470" priority="207" operator="greaterThan">
      <formula>$N$8</formula>
    </cfRule>
    <cfRule type="cellIs" dxfId="469" priority="208" operator="lessThan">
      <formula>$N$8</formula>
    </cfRule>
  </conditionalFormatting>
  <conditionalFormatting sqref="K14:K44">
    <cfRule type="cellIs" dxfId="468" priority="31" operator="lessThanOrEqual">
      <formula>0</formula>
    </cfRule>
    <cfRule type="cellIs" dxfId="467" priority="32" operator="greaterThan">
      <formula>0</formula>
    </cfRule>
  </conditionalFormatting>
  <conditionalFormatting sqref="K45">
    <cfRule type="cellIs" dxfId="466" priority="235" operator="lessThan">
      <formula>0</formula>
    </cfRule>
  </conditionalFormatting>
  <conditionalFormatting sqref="N14:O44">
    <cfRule type="cellIs" dxfId="465" priority="11" operator="equal">
      <formula>0</formula>
    </cfRule>
  </conditionalFormatting>
  <conditionalFormatting sqref="P13:P44">
    <cfRule type="cellIs" dxfId="464" priority="2" operator="equal">
      <formula>0</formula>
    </cfRule>
  </conditionalFormatting>
  <conditionalFormatting sqref="P60:P63">
    <cfRule type="cellIs" dxfId="463" priority="58" operator="lessThan">
      <formula>0</formula>
    </cfRule>
  </conditionalFormatting>
  <conditionalFormatting sqref="Q47">
    <cfRule type="cellIs" dxfId="462" priority="47" operator="equal">
      <formula>0</formula>
    </cfRule>
  </conditionalFormatting>
  <conditionalFormatting sqref="T14:T44">
    <cfRule type="cellIs" dxfId="461" priority="269" operator="equal">
      <formula>0</formula>
    </cfRule>
  </conditionalFormatting>
  <conditionalFormatting sqref="T45:W45">
    <cfRule type="cellIs" dxfId="460" priority="153" operator="equal">
      <formula>0</formula>
    </cfRule>
  </conditionalFormatting>
  <conditionalFormatting sqref="T51:W51">
    <cfRule type="cellIs" dxfId="459" priority="25" operator="equal">
      <formula>0</formula>
    </cfRule>
  </conditionalFormatting>
  <conditionalFormatting sqref="U15:W44">
    <cfRule type="cellIs" dxfId="458" priority="243" operator="equal">
      <formula>0</formula>
    </cfRule>
  </conditionalFormatting>
  <conditionalFormatting sqref="U51:Y53">
    <cfRule type="cellIs" dxfId="457" priority="15" operator="equal">
      <formula>0</formula>
    </cfRule>
  </conditionalFormatting>
  <conditionalFormatting sqref="V14">
    <cfRule type="cellIs" dxfId="456" priority="270" operator="equal">
      <formula>0</formula>
    </cfRule>
  </conditionalFormatting>
  <conditionalFormatting sqref="V13:W13">
    <cfRule type="cellIs" dxfId="455" priority="169" operator="equal">
      <formula>0</formula>
    </cfRule>
  </conditionalFormatting>
  <conditionalFormatting sqref="W52">
    <cfRule type="cellIs" dxfId="454" priority="19" operator="equal">
      <formula>0</formula>
    </cfRule>
  </conditionalFormatting>
  <conditionalFormatting sqref="X13:Y45">
    <cfRule type="cellIs" dxfId="453" priority="59" operator="equal">
      <formula>0</formula>
    </cfRule>
  </conditionalFormatting>
  <conditionalFormatting sqref="Z13:Z44">
    <cfRule type="cellIs" dxfId="452" priority="170" operator="equal">
      <formula>0</formula>
    </cfRule>
  </conditionalFormatting>
  <conditionalFormatting sqref="Z51:AC51">
    <cfRule type="cellIs" dxfId="451" priority="23" operator="equal">
      <formula>0</formula>
    </cfRule>
  </conditionalFormatting>
  <conditionalFormatting sqref="Z45:AD45">
    <cfRule type="cellIs" dxfId="450" priority="151" operator="equal">
      <formula>0</formula>
    </cfRule>
  </conditionalFormatting>
  <conditionalFormatting sqref="AA14:AB44">
    <cfRule type="cellIs" dxfId="449" priority="33" operator="equal">
      <formula>0</formula>
    </cfRule>
  </conditionalFormatting>
  <conditionalFormatting sqref="AA51:AE52">
    <cfRule type="cellIs" dxfId="448" priority="5" operator="equal">
      <formula>0</formula>
    </cfRule>
  </conditionalFormatting>
  <conditionalFormatting sqref="AC13:AD44">
    <cfRule type="cellIs" dxfId="447" priority="124" operator="equal">
      <formula>0</formula>
    </cfRule>
  </conditionalFormatting>
  <conditionalFormatting sqref="AE13:AE45">
    <cfRule type="cellIs" dxfId="446" priority="1" operator="equal">
      <formula>0</formula>
    </cfRule>
  </conditionalFormatting>
  <conditionalFormatting sqref="AF13:AG44">
    <cfRule type="cellIs" dxfId="445" priority="73" operator="equal">
      <formula>0</formula>
    </cfRule>
  </conditionalFormatting>
  <conditionalFormatting sqref="AG51:AH51">
    <cfRule type="cellIs" dxfId="444" priority="14" operator="equal">
      <formula>0</formula>
    </cfRule>
  </conditionalFormatting>
  <conditionalFormatting sqref="AH14:AH44">
    <cfRule type="cellIs" dxfId="443" priority="28" operator="equal">
      <formula>0</formula>
    </cfRule>
  </conditionalFormatting>
  <conditionalFormatting sqref="AH51:AH52">
    <cfRule type="cellIs" dxfId="442" priority="12" operator="equal">
      <formula>0</formula>
    </cfRule>
  </conditionalFormatting>
  <dataValidations count="4">
    <dataValidation type="list" allowBlank="1" showInputMessage="1" showErrorMessage="1" sqref="J14:J44" xr:uid="{8A1DD58B-C7E0-4A68-A6C2-813D90F0B1AA}">
      <formula1>AbwesenheitenStunden</formula1>
    </dataValidation>
    <dataValidation type="list" allowBlank="1" showInputMessage="1" showErrorMessage="1" error="Die Eingabe ist unzulässig_x000a_Bitte Drop Down Felder verwenden" sqref="F14:G44" xr:uid="{E5714B15-C98A-46EA-9756-A098264A7023}">
      <formula1>Zeiten1</formula1>
    </dataValidation>
    <dataValidation type="decimal" allowBlank="1" showInputMessage="1" showErrorMessage="1" error="Die ausgewählte Stundenanzahl steht nicht zur Verfügung!" sqref="J54" xr:uid="{E963BF58-953D-432F-A7AA-BA56B8F74BFC}">
      <formula1>0</formula1>
      <formula2>K54</formula2>
    </dataValidation>
    <dataValidation type="list" allowBlank="1" showInputMessage="1" showErrorMessage="1" sqref="H14:I44" xr:uid="{2BA872B9-5CAD-4BEA-BB5A-995CC10C75CA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2" id="{FEEB17FB-5439-4919-923A-78FA2CCBBCEC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ECA3738D-EC06-4C79-8FC8-EC955F080A19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8D9617E7-9F5C-4D18-BEFB-C154D6BB9782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A18FD5C9-D941-4CBA-9CB5-EAAA9C2C56DF}">
          <x14:formula1>
            <xm:f>Datenblatt!$D$58:$D$59</xm:f>
          </x14:formula1>
          <xm:sqref>P47 J58</xm:sqref>
        </x14:dataValidation>
        <x14:dataValidation type="list" allowBlank="1" showInputMessage="1" showErrorMessage="1" xr:uid="{E001FE77-8E26-4E31-B2FE-7538DC1A462C}">
          <x14:formula1>
            <xm:f>Datenblatt!$D$52:$D$53</xm:f>
          </x14:formula1>
          <xm:sqref>P48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IF(SUM(N14:O43,L13:L43,AA51:AD51,AA52:AB52)=0,Datenblatt!J103,SUM(N14:O43,L13:L43,AA51:AD51,AA52:AB52,AH51:AH52))</f>
        <v>211.20000000000002</v>
      </c>
      <c r="L6" s="555"/>
      <c r="M6" s="555"/>
      <c r="N6" s="574">
        <f>COUNTIF(D14:E43,"ND")+COUNTIF(D14:E43,"ND12,5")</f>
        <v>0</v>
      </c>
      <c r="O6" s="574"/>
      <c r="P6" s="575"/>
      <c r="Q6" s="491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DATE($D$8,4,1)</f>
        <v>46113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SUM(M13:M43)</f>
        <v>0</v>
      </c>
      <c r="L8" s="554"/>
      <c r="M8" s="554"/>
      <c r="N8" s="555">
        <f>VLOOKUP($B$8,Datenblatt!A100:F123,6,FALSE)</f>
        <v>168</v>
      </c>
      <c r="O8" s="555"/>
      <c r="P8" s="556"/>
      <c r="Q8" s="491">
        <f ca="1">IF($L$50="","",SUM($L$50:$L$59))</f>
        <v>10749.259999999998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3" si="0">C13</f>
        <v>46112</v>
      </c>
      <c r="C13" s="139">
        <f>C14-1</f>
        <v>46112</v>
      </c>
      <c r="D13" s="143" t="str">
        <f>IF(März!D$44="","",März!D$44)</f>
        <v/>
      </c>
      <c r="E13" s="140" t="str">
        <f>IF(März!E$44="","",März!E$44)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46113</v>
      </c>
      <c r="C14" s="81">
        <f>DATE($D$8,MONTH(B$8),1)</f>
        <v>46113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2" si="2">IF(AND(F14="",G14=""),"",IF(OR(F14&gt;G14,AND(F14="",G14&gt;0),F14=G14),"ungültig",IF(OR(WEEKDAY(B14,2)=7,A14="Ft"),0,(G14-F14)*24)))</f>
        <v/>
      </c>
      <c r="O14" s="200" t="str">
        <f t="shared" ref="O14:O42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46114</v>
      </c>
      <c r="C15" s="82">
        <f t="shared" ref="C15:C41" si="4">C14+1</f>
        <v>46114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32" si="5">IF(K15="",0,K15)</f>
        <v>0</v>
      </c>
      <c r="U15" s="105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3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3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IF(T15=0,0,IF((AND((ROW(T15)=MATCH(TRUE,($T$1:$T$43)&gt;0,0)))),IF(W15&gt;=6,W15-6,0),IF(W15&gt;=2,2,W15)))</f>
        <v>0</v>
      </c>
      <c r="Y15" s="242">
        <f t="array" ref="Y15">IF(T14=0,0,(IF((AND((ROW(T14)=MATCH(TRUE,($T$1:$T$43)&gt;0,0)))),IF(W14&gt;=6,6,W14),IF(W14&gt;=2,W14-2,0))))</f>
        <v>0</v>
      </c>
      <c r="Z15" s="102" t="str">
        <f t="shared" ref="Z15:Z43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3" si="7">IF(OR(E15="ND",E15="ND12,5"),2,0)</f>
        <v>0</v>
      </c>
      <c r="AD15" s="203">
        <f t="shared" ref="AD15:AD43" si="8">IF(OR(E14="ND",E14="ND12,5"),6,0)</f>
        <v>0</v>
      </c>
      <c r="AE15" s="203">
        <f t="shared" ref="AE15:AE43" si="9">IF(AND(E14="ND",AA15&gt;=2),1,IF(AND(E14="ND12,5",AA15&gt;=2),0.5,0))</f>
        <v>0</v>
      </c>
      <c r="AF15" s="103">
        <f t="shared" ref="AF15:AF43" si="10">IF(OR(D15="ND",D15="ND12,5"),2-X15,0)</f>
        <v>0</v>
      </c>
      <c r="AG15" s="103">
        <f t="shared" ref="AG15:AG43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46115</v>
      </c>
      <c r="C16" s="82">
        <f t="shared" si="4"/>
        <v>46115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3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3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IF(T16=0,0,IF((AND((ROW(T16)=MATCH(TRUE,($T$1:$T$43)&gt;0,0)))),IF(W16&gt;=6,W16-6,0),IF(W16&gt;=2,2,W16)))</f>
        <v>0</v>
      </c>
      <c r="Y16" s="242">
        <f t="array" ref="Y16">IF(T15=0,0,(IF((AND((ROW(T15)=MATCH(TRUE,($T$1:$T$43)&gt;0,0)))),IF(W15&gt;=6,6,W15),IF(W15&gt;=2,W15-2,0))))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46116</v>
      </c>
      <c r="C17" s="82">
        <f t="shared" si="4"/>
        <v>46116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3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3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IF(T17=0,0,IF((AND((ROW(T17)=MATCH(TRUE,($T$1:$T$43)&gt;0,0)))),IF(W17&gt;=6,W17-6,0),IF(W17&gt;=2,2,W17)))</f>
        <v>0</v>
      </c>
      <c r="Y17" s="242">
        <f t="array" ref="Y17">IF(T16=0,0,(IF((AND((ROW(T16)=MATCH(TRUE,($T$1:$T$43)&gt;0,0)))),IF(W16&gt;=6,6,W16),IF(W16&gt;=2,W16-2,0))))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>Ft</v>
      </c>
      <c r="B18" s="80">
        <f t="shared" si="0"/>
        <v>46117</v>
      </c>
      <c r="C18" s="82">
        <f t="shared" si="4"/>
        <v>46117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>
        <f t="shared" si="3"/>
        <v>0</v>
      </c>
      <c r="P18" s="175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3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3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IF(T18=0,0,IF((AND((ROW(T18)=MATCH(TRUE,($T$1:$T$43)&gt;0,0)))),IF(W18&gt;=6,W18-6,0),IF(W18&gt;=2,2,W18)))</f>
        <v>0</v>
      </c>
      <c r="Y18" s="242">
        <f t="array" ref="Y18">IF(T17=0,0,(IF((AND((ROW(T17)=MATCH(TRUE,($T$1:$T$43)&gt;0,0)))),IF(W17&gt;=6,6,W17),IF(W17&gt;=2,W17-2,0))))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>Ft</v>
      </c>
      <c r="B19" s="80">
        <f t="shared" si="0"/>
        <v>46118</v>
      </c>
      <c r="C19" s="82">
        <f t="shared" si="4"/>
        <v>46118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>
        <f t="shared" si="3"/>
        <v>0</v>
      </c>
      <c r="P19" s="175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3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3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IF(T19=0,0,IF((AND((ROW(T19)=MATCH(TRUE,($T$1:$T$43)&gt;0,0)))),IF(W19&gt;=6,W19-6,0),IF(W19&gt;=2,2,W19)))</f>
        <v>0</v>
      </c>
      <c r="Y19" s="242">
        <f t="array" ref="Y19">IF(T18=0,0,(IF((AND((ROW(T18)=MATCH(TRUE,($T$1:$T$43)&gt;0,0)))),IF(W18&gt;=6,6,W18),IF(W18&gt;=2,W18-2,0))))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46119</v>
      </c>
      <c r="C20" s="82">
        <f t="shared" si="4"/>
        <v>46119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3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3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IF(T20=0,0,IF((AND((ROW(T20)=MATCH(TRUE,($T$1:$T$43)&gt;0,0)))),IF(W20&gt;=6,W20-6,0),IF(W20&gt;=2,2,W20)))</f>
        <v>0</v>
      </c>
      <c r="Y20" s="242">
        <f t="array" ref="Y20">IF(T19=0,0,(IF((AND((ROW(T19)=MATCH(TRUE,($T$1:$T$43)&gt;0,0)))),IF(W19&gt;=6,6,W19),IF(W19&gt;=2,W19-2,0))))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46120</v>
      </c>
      <c r="C21" s="82">
        <f t="shared" si="4"/>
        <v>46120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3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3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IF(T21=0,0,IF((AND((ROW(T21)=MATCH(TRUE,($T$1:$T$43)&gt;0,0)))),IF(W21&gt;=6,W21-6,0),IF(W21&gt;=2,2,W21)))</f>
        <v>0</v>
      </c>
      <c r="Y21" s="242">
        <f t="array" ref="Y21">IF(T20=0,0,(IF((AND((ROW(T20)=MATCH(TRUE,($T$1:$T$43)&gt;0,0)))),IF(W20&gt;=6,6,W20),IF(W20&gt;=2,W20-2,0))))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46121</v>
      </c>
      <c r="C22" s="82">
        <f t="shared" si="4"/>
        <v>46121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3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3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IF(T22=0,0,IF((AND((ROW(T22)=MATCH(TRUE,($T$1:$T$43)&gt;0,0)))),IF(W22&gt;=6,W22-6,0),IF(W22&gt;=2,2,W22)))</f>
        <v>0</v>
      </c>
      <c r="Y22" s="242">
        <f t="array" ref="Y22">IF(T21=0,0,(IF((AND((ROW(T21)=MATCH(TRUE,($T$1:$T$43)&gt;0,0)))),IF(W21&gt;=6,6,W21),IF(W21&gt;=2,W21-2,0))))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46122</v>
      </c>
      <c r="C23" s="82">
        <f t="shared" si="4"/>
        <v>46122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3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3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IF(T23=0,0,IF((AND((ROW(T23)=MATCH(TRUE,($T$1:$T$43)&gt;0,0)))),IF(W23&gt;=6,W23-6,0),IF(W23&gt;=2,2,W23)))</f>
        <v>0</v>
      </c>
      <c r="Y23" s="242">
        <f t="array" ref="Y23">IF(T22=0,0,(IF((AND((ROW(T22)=MATCH(TRUE,($T$1:$T$43)&gt;0,0)))),IF(W22&gt;=6,6,W22),IF(W22&gt;=2,W22-2,0))))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46123</v>
      </c>
      <c r="C24" s="82">
        <f t="shared" si="4"/>
        <v>46123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3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3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IF(T24=0,0,IF((AND((ROW(T24)=MATCH(TRUE,($T$1:$T$43)&gt;0,0)))),IF(W24&gt;=6,W24-6,0),IF(W24&gt;=2,2,W24)))</f>
        <v>0</v>
      </c>
      <c r="Y24" s="242">
        <f t="array" ref="Y24">IF(T23=0,0,(IF((AND((ROW(T23)=MATCH(TRUE,($T$1:$T$43)&gt;0,0)))),IF(W23&gt;=6,6,W23),IF(W23&gt;=2,W23-2,0))))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46124</v>
      </c>
      <c r="C25" s="82">
        <f t="shared" si="4"/>
        <v>46124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>
        <f t="shared" si="3"/>
        <v>0</v>
      </c>
      <c r="P25" s="175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3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3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IF(T25=0,0,IF((AND((ROW(T25)=MATCH(TRUE,($T$1:$T$43)&gt;0,0)))),IF(W25&gt;=6,W25-6,0),IF(W25&gt;=2,2,W25)))</f>
        <v>0</v>
      </c>
      <c r="Y25" s="242">
        <f t="array" ref="Y25">IF(T24=0,0,(IF((AND((ROW(T24)=MATCH(TRUE,($T$1:$T$43)&gt;0,0)))),IF(W24&gt;=6,6,W24),IF(W24&gt;=2,W24-2,0))))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46125</v>
      </c>
      <c r="C26" s="82">
        <f t="shared" si="4"/>
        <v>46125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3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3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IF(T26=0,0,IF((AND((ROW(T26)=MATCH(TRUE,($T$1:$T$43)&gt;0,0)))),IF(W26&gt;=6,W26-6,0),IF(W26&gt;=2,2,W26)))</f>
        <v>0</v>
      </c>
      <c r="Y26" s="242">
        <f t="array" ref="Y26">IF(T25=0,0,(IF((AND((ROW(T25)=MATCH(TRUE,($T$1:$T$43)&gt;0,0)))),IF(W25&gt;=6,6,W25),IF(W25&gt;=2,W25-2,0))))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46126</v>
      </c>
      <c r="C27" s="82">
        <f t="shared" si="4"/>
        <v>46126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 t="str">
        <f t="shared" si="3"/>
        <v/>
      </c>
      <c r="P27" s="175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3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3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IF(T27=0,0,IF((AND((ROW(T27)=MATCH(TRUE,($T$1:$T$43)&gt;0,0)))),IF(W27&gt;=6,W27-6,0),IF(W27&gt;=2,2,W27)))</f>
        <v>0</v>
      </c>
      <c r="Y27" s="242">
        <f t="array" ref="Y27">IF(T26=0,0,(IF((AND((ROW(T26)=MATCH(TRUE,($T$1:$T$43)&gt;0,0)))),IF(W26&gt;=6,6,W26),IF(W26&gt;=2,W26-2,0))))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46127</v>
      </c>
      <c r="C28" s="82">
        <f t="shared" si="4"/>
        <v>46127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3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3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IF(T28=0,0,IF((AND((ROW(T28)=MATCH(TRUE,($T$1:$T$43)&gt;0,0)))),IF(W28&gt;=6,W28-6,0),IF(W28&gt;=2,2,W28)))</f>
        <v>0</v>
      </c>
      <c r="Y28" s="242">
        <f t="array" ref="Y28">IF(T27=0,0,(IF((AND((ROW(T27)=MATCH(TRUE,($T$1:$T$43)&gt;0,0)))),IF(W27&gt;=6,6,W27),IF(W27&gt;=2,W27-2,0))))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46128</v>
      </c>
      <c r="C29" s="82">
        <f t="shared" si="4"/>
        <v>46128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3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3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IF(T29=0,0,IF((AND((ROW(T29)=MATCH(TRUE,($T$1:$T$43)&gt;0,0)))),IF(W29&gt;=6,W29-6,0),IF(W29&gt;=2,2,W29)))</f>
        <v>0</v>
      </c>
      <c r="Y29" s="242">
        <f t="array" ref="Y29">IF(T28=0,0,(IF((AND((ROW(T28)=MATCH(TRUE,($T$1:$T$43)&gt;0,0)))),IF(W28&gt;=6,6,W28),IF(W28&gt;=2,W28-2,0))))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46129</v>
      </c>
      <c r="C30" s="82">
        <f t="shared" si="4"/>
        <v>46129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3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3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IF(T30=0,0,IF((AND((ROW(T30)=MATCH(TRUE,($T$1:$T$43)&gt;0,0)))),IF(W30&gt;=6,W30-6,0),IF(W30&gt;=2,2,W30)))</f>
        <v>0</v>
      </c>
      <c r="Y30" s="242">
        <f t="array" ref="Y30">IF(T29=0,0,(IF((AND((ROW(T29)=MATCH(TRUE,($T$1:$T$43)&gt;0,0)))),IF(W29&gt;=6,6,W29),IF(W29&gt;=2,W29-2,0))))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46130</v>
      </c>
      <c r="C31" s="82">
        <f t="shared" si="4"/>
        <v>46130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3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3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IF(T31=0,0,IF((AND((ROW(T31)=MATCH(TRUE,($T$1:$T$43)&gt;0,0)))),IF(W31&gt;=6,W31-6,0),IF(W31&gt;=2,2,W31)))</f>
        <v>0</v>
      </c>
      <c r="Y31" s="242">
        <f t="array" ref="Y31">IF(T30=0,0,(IF((AND((ROW(T30)=MATCH(TRUE,($T$1:$T$43)&gt;0,0)))),IF(W30&gt;=6,6,W30),IF(W30&gt;=2,W30-2,0))))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46131</v>
      </c>
      <c r="C32" s="82">
        <f t="shared" si="4"/>
        <v>46131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>
        <f t="shared" si="3"/>
        <v>0</v>
      </c>
      <c r="P32" s="175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3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3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IF(T32=0,0,IF((AND((ROW(T32)=MATCH(TRUE,($T$1:$T$43)&gt;0,0)))),IF(W32&gt;=6,W32-6,0),IF(W32&gt;=2,2,W32)))</f>
        <v>0</v>
      </c>
      <c r="Y32" s="242">
        <f t="array" ref="Y32">IF(T31=0,0,(IF((AND((ROW(T31)=MATCH(TRUE,($T$1:$T$43)&gt;0,0)))),IF(W31&gt;=6,6,W31),IF(W31&gt;=2,W31-2,0))))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46132</v>
      </c>
      <c r="C33" s="82">
        <f t="shared" si="4"/>
        <v>46132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ref="T33:T43" si="12">IF(K33="",0,K33)</f>
        <v>0</v>
      </c>
      <c r="U33" s="105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3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3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IF(T33=0,0,IF((AND((ROW(T33)=MATCH(TRUE,($T$1:$T$43)&gt;0,0)))),IF(W33&gt;=6,W33-6,0),IF(W33&gt;=2,2,W33)))</f>
        <v>0</v>
      </c>
      <c r="Y33" s="242">
        <f t="array" ref="Y33">IF(T32=0,0,(IF((AND((ROW(T32)=MATCH(TRUE,($T$1:$T$43)&gt;0,0)))),IF(W32&gt;=6,6,W32),IF(W32&gt;=2,W32-2,0))))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46133</v>
      </c>
      <c r="C34" s="82">
        <f t="shared" si="4"/>
        <v>46133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12"/>
        <v>0</v>
      </c>
      <c r="U34" s="105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3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3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IF(T34=0,0,IF((AND((ROW(T34)=MATCH(TRUE,($T$1:$T$43)&gt;0,0)))),IF(W34&gt;=6,W34-6,0),IF(W34&gt;=2,2,W34)))</f>
        <v>0</v>
      </c>
      <c r="Y34" s="242">
        <f t="array" ref="Y34">IF(T33=0,0,(IF((AND((ROW(T33)=MATCH(TRUE,($T$1:$T$43)&gt;0,0)))),IF(W33&gt;=6,6,W33),IF(W33&gt;=2,W33-2,0))))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46134</v>
      </c>
      <c r="C35" s="82">
        <f t="shared" si="4"/>
        <v>46134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12"/>
        <v>0</v>
      </c>
      <c r="U35" s="105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3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3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IF(T35=0,0,IF((AND((ROW(T35)=MATCH(TRUE,($T$1:$T$43)&gt;0,0)))),IF(W35&gt;=6,W35-6,0),IF(W35&gt;=2,2,W35)))</f>
        <v>0</v>
      </c>
      <c r="Y35" s="242">
        <f t="array" ref="Y35">IF(T34=0,0,(IF((AND((ROW(T34)=MATCH(TRUE,($T$1:$T$43)&gt;0,0)))),IF(W34&gt;=6,6,W34),IF(W34&gt;=2,W34-2,0))))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46135</v>
      </c>
      <c r="C36" s="82">
        <f t="shared" si="4"/>
        <v>46135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12"/>
        <v>0</v>
      </c>
      <c r="U36" s="105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3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3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IF(T36=0,0,IF((AND((ROW(T36)=MATCH(TRUE,($T$1:$T$43)&gt;0,0)))),IF(W36&gt;=6,W36-6,0),IF(W36&gt;=2,2,W36)))</f>
        <v>0</v>
      </c>
      <c r="Y36" s="242">
        <f t="array" ref="Y36">IF(T35=0,0,(IF((AND((ROW(T35)=MATCH(TRUE,($T$1:$T$43)&gt;0,0)))),IF(W35&gt;=6,6,W35),IF(W35&gt;=2,W35-2,0))))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46136</v>
      </c>
      <c r="C37" s="82">
        <f t="shared" si="4"/>
        <v>46136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12"/>
        <v>0</v>
      </c>
      <c r="U37" s="105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3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3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IF(T37=0,0,IF((AND((ROW(T37)=MATCH(TRUE,($T$1:$T$43)&gt;0,0)))),IF(W37&gt;=6,W37-6,0),IF(W37&gt;=2,2,W37)))</f>
        <v>0</v>
      </c>
      <c r="Y37" s="242">
        <f t="array" ref="Y37">IF(T36=0,0,(IF((AND((ROW(T36)=MATCH(TRUE,($T$1:$T$43)&gt;0,0)))),IF(W36&gt;=6,6,W36),IF(W36&gt;=2,W36-2,0))))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46137</v>
      </c>
      <c r="C38" s="82">
        <f t="shared" si="4"/>
        <v>46137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12"/>
        <v>0</v>
      </c>
      <c r="U38" s="105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3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3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IF(T38=0,0,IF((AND((ROW(T38)=MATCH(TRUE,($T$1:$T$43)&gt;0,0)))),IF(W38&gt;=6,W38-6,0),IF(W38&gt;=2,2,W38)))</f>
        <v>0</v>
      </c>
      <c r="Y38" s="242">
        <f t="array" ref="Y38">IF(T37=0,0,(IF((AND((ROW(T37)=MATCH(TRUE,($T$1:$T$43)&gt;0,0)))),IF(W37&gt;=6,6,W37),IF(W37&gt;=2,W37-2,0))))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46138</v>
      </c>
      <c r="C39" s="82">
        <f t="shared" si="4"/>
        <v>46138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>
        <f t="shared" si="3"/>
        <v>0</v>
      </c>
      <c r="P39" s="175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12"/>
        <v>0</v>
      </c>
      <c r="U39" s="105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3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3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IF(T39=0,0,IF((AND((ROW(T39)=MATCH(TRUE,($T$1:$T$43)&gt;0,0)))),IF(W39&gt;=6,W39-6,0),IF(W39&gt;=2,2,W39)))</f>
        <v>0</v>
      </c>
      <c r="Y39" s="242">
        <f t="array" ref="Y39">IF(T38=0,0,(IF((AND((ROW(T38)=MATCH(TRUE,($T$1:$T$43)&gt;0,0)))),IF(W38&gt;=6,6,W38),IF(W38&gt;=2,W38-2,0))))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46139</v>
      </c>
      <c r="C40" s="82">
        <f t="shared" si="4"/>
        <v>46139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12"/>
        <v>0</v>
      </c>
      <c r="U40" s="105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3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3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IF(T40=0,0,IF((AND((ROW(T40)=MATCH(TRUE,($T$1:$T$43)&gt;0,0)))),IF(W40&gt;=6,W40-6,0),IF(W40&gt;=2,2,W40)))</f>
        <v>0</v>
      </c>
      <c r="Y40" s="242">
        <f t="array" ref="Y40">IF(T39=0,0,(IF((AND((ROW(T39)=MATCH(TRUE,($T$1:$T$43)&gt;0,0)))),IF(W39&gt;=6,6,W39),IF(W39&gt;=2,W39-2,0))))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46140</v>
      </c>
      <c r="C41" s="82">
        <f t="shared" si="4"/>
        <v>46140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12"/>
        <v>0</v>
      </c>
      <c r="U41" s="105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3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3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IF(T41=0,0,IF((AND((ROW(T41)=MATCH(TRUE,($T$1:$T$43)&gt;0,0)))),IF(W41&gt;=6,W41-6,0),IF(W41&gt;=2,2,W41)))</f>
        <v>0</v>
      </c>
      <c r="Y41" s="242">
        <f t="array" ref="Y41">IF(T40=0,0,(IF((AND((ROW(T40)=MATCH(TRUE,($T$1:$T$43)&gt;0,0)))),IF(W40&gt;=6,6,W40),IF(W40&gt;=2,W40-2,0))))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46141</v>
      </c>
      <c r="C42" s="83">
        <f>C41+1</f>
        <v>46141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2">
        <f t="shared" si="12"/>
        <v>0</v>
      </c>
      <c r="U42" s="105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3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3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IF(T42=0,0,IF((AND((ROW(T42)=MATCH(TRUE,($T$1:$T$43)&gt;0,0)))),IF(W42&gt;=6,W42-6,0),IF(W42&gt;=2,2,W42)))</f>
        <v>0</v>
      </c>
      <c r="Y42" s="242">
        <f t="array" ref="Y42">IF(T41=0,0,(IF((AND((ROW(T41)=MATCH(TRUE,($T$1:$T$43)&gt;0,0)))),IF(W41&gt;=6,6,W41),IF(W41&gt;=2,W41-2,0))))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49">
        <f t="shared" si="0"/>
        <v>46142</v>
      </c>
      <c r="C43" s="150">
        <f>C42+1</f>
        <v>46142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199" t="str">
        <f>IF(D43="","",IF(E42="ND",VLOOKUP(D43,Datenblatt!$A$2:$C$31,3,FALSE)-1,IF(E42="ND12,5",VLOOKUP(D43,Datenblatt!$A$2:$C$31,3,FALSE)-0.5,VLOOKUP(D43,Datenblatt!$A$2:$C$31,3,FALSE)-M44)))</f>
        <v/>
      </c>
      <c r="N43" s="200" t="str">
        <f t="shared" ref="N43" si="13">IF(AND(F43="",G43=""),"",IF(OR(F43&gt;G43,AND(F43="",G43&gt;0),F43=G43),"ungültig",IF(OR(WEEKDAY(B43,2)=7,A43="Ft"),0,(G43-F43)*24)))</f>
        <v/>
      </c>
      <c r="O43" s="200" t="str">
        <f t="shared" ref="O43" si="14">IF(AND(H43="",I43=""),IF(OR(WEEKDAY(B43,2)=7,A43="Ft"),(G43-F43)*24,""),IF(OR(AND(I43="",H43&gt;0),AND(H43="",I43&gt;0),H43=I43),"ungültig",(IF(I43&gt;H43,((I43-H43)*24+IF(OR(WEEKDAY(B43,2)=7,A43="Ft"),(G43-F43)*24,0)),((1+I43-H43)*24+IF(OR(WEEKDAY(B43,2)=7,A43="Ft"),(G43-F43)*24,0))))))</f>
        <v/>
      </c>
      <c r="P43" s="175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12"/>
        <v>0</v>
      </c>
      <c r="U43" s="105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3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3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2">
        <f t="array" ref="X43">IF(T43=0,0,IF((AND((ROW(T43)=MATCH(TRUE,($T$1:$T$43)&gt;0,0)))),IF(W43&gt;=0,W43-0,0),IF(W43&gt;=2,2,W43)))</f>
        <v>0</v>
      </c>
      <c r="Y43" s="242">
        <f t="array" ref="Y43">IF(T42=0,0,(IF((AND((ROW(T42)=MATCH(TRUE,($T$1:$T$43)&gt;0,0)))),IF(W42&gt;=6,6,W42),IF(W42&gt;=2,W42-2,0))))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 thickBot="1">
      <c r="A44" s="216" t="str">
        <f>IF(ISERROR(VLOOKUP(C44,Datenblatt!$B$84:$B$97,1,FALSE)),"","Ft")</f>
        <v/>
      </c>
      <c r="B44" s="143"/>
      <c r="C44" s="140"/>
      <c r="D44" s="140"/>
      <c r="E44" s="140"/>
      <c r="F44" s="140"/>
      <c r="G44" s="140"/>
      <c r="H44" s="140"/>
      <c r="I44" s="140"/>
      <c r="J44" s="144">
        <f>SUM(J14:J43)</f>
        <v>0</v>
      </c>
      <c r="K44" s="202">
        <f>SUM(K14:K43)</f>
        <v>0</v>
      </c>
      <c r="L44" s="162" t="str">
        <f>IF(D43="ND",9,IF(D43="ND12,5",8.5,"0"))</f>
        <v>0</v>
      </c>
      <c r="M44" s="162" t="str">
        <f>IF(D43="ND",9,IF(D43="ND12,5",8.5,"0"))</f>
        <v>0</v>
      </c>
      <c r="N44" s="208">
        <f t="shared" ref="N44:O44" si="15">SUM(N14:N43)</f>
        <v>0</v>
      </c>
      <c r="O44" s="208">
        <f t="shared" si="15"/>
        <v>0</v>
      </c>
      <c r="P44" s="186">
        <f>SUM(P14:P43)</f>
        <v>0</v>
      </c>
      <c r="Q44" s="165"/>
      <c r="R44" s="146"/>
      <c r="S44" s="147"/>
      <c r="T44" s="145"/>
      <c r="U44" s="106"/>
      <c r="V44" s="107"/>
      <c r="W44" s="107"/>
      <c r="X44" s="107"/>
      <c r="Y44" s="107"/>
      <c r="Z44" s="145"/>
      <c r="AA44" s="204"/>
      <c r="AB44" s="204"/>
      <c r="AC44" s="204"/>
      <c r="AD44" s="204"/>
      <c r="AE44" s="204"/>
      <c r="AF44" s="204"/>
      <c r="AG44" s="204"/>
      <c r="AH44" s="204"/>
    </row>
    <row r="45" spans="1:34" s="77" customFormat="1" ht="0.75" customHeight="1" thickBot="1">
      <c r="A45" s="419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8"/>
      <c r="U45" s="108"/>
      <c r="V45" s="108"/>
      <c r="W45" s="108"/>
      <c r="X45" s="108"/>
      <c r="Y45" s="108"/>
      <c r="Z45" s="176"/>
      <c r="AA45" s="205"/>
      <c r="AB45" s="205"/>
      <c r="AC45" s="205"/>
      <c r="AD45" s="205"/>
      <c r="AE45" s="205"/>
      <c r="AF45" s="109"/>
      <c r="AG45" s="109"/>
      <c r="AH45" s="109"/>
    </row>
    <row r="46" spans="1:34" s="63" customFormat="1">
      <c r="A46" s="216"/>
      <c r="B46" s="158" t="s">
        <v>146</v>
      </c>
      <c r="C46" s="158"/>
      <c r="D46" s="56"/>
      <c r="E46" s="56"/>
      <c r="F46" s="54"/>
      <c r="G46" s="54"/>
      <c r="H46" s="54"/>
      <c r="I46" s="239"/>
      <c r="J46" s="239"/>
      <c r="K46" s="239"/>
      <c r="L46" s="608" t="s">
        <v>288</v>
      </c>
      <c r="M46" s="608"/>
      <c r="N46" s="608"/>
      <c r="O46" s="609"/>
      <c r="P46" s="190" t="s">
        <v>145</v>
      </c>
      <c r="Q46" s="315">
        <f>IF($P$46="ja",SUMPRODUCT((WEEKDAY($B$14:$B$43,2)=1)*2),0)</f>
        <v>0</v>
      </c>
      <c r="R46" s="148"/>
      <c r="S46" s="161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1"/>
      <c r="AG46" s="231"/>
      <c r="AH46" s="231"/>
    </row>
    <row r="47" spans="1:34" s="63" customFormat="1">
      <c r="A47" s="216"/>
      <c r="B47" s="180" t="str">
        <f>"Verrechnung von Sonderzahlungen, Überstunden, Nachtgutstunden und Nachtdiensten erfolgt im Folgemonat"&amp;" "&amp;Start!$B$19</f>
        <v>Verrechnung von Sonderzahlungen, Überstunden, Nachtgutstunden und Nachtdiensten erfolgt im Folgemonat Mai</v>
      </c>
      <c r="C47" s="158"/>
      <c r="D47" s="56"/>
      <c r="E47" s="56"/>
      <c r="F47" s="54"/>
      <c r="G47" s="54"/>
      <c r="H47" s="78"/>
      <c r="I47" s="78"/>
      <c r="J47" s="79"/>
      <c r="K47" s="79"/>
      <c r="L47" s="606" t="s">
        <v>289</v>
      </c>
      <c r="M47" s="606"/>
      <c r="N47" s="606"/>
      <c r="O47" s="607"/>
      <c r="P47" s="193" t="s">
        <v>291</v>
      </c>
      <c r="Q47" s="314" t="str">
        <f>IF($P$47="Freizeit","       als Gutstunden abgerechnet","       im Folgemonat ausbezahlt")</f>
        <v xml:space="preserve">       als Gutstunden abgerechnet</v>
      </c>
      <c r="R47" s="192"/>
      <c r="S47" s="18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ht="15" thickBot="1"/>
    <row r="49" spans="2:34" ht="15" hidden="1" thickBot="1"/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382</v>
      </c>
      <c r="H50" s="290"/>
      <c r="I50" s="294"/>
      <c r="J50" s="294"/>
      <c r="K50" s="294"/>
      <c r="L50" s="291">
        <f>($Q$6)*2</f>
        <v>10749.259999999998</v>
      </c>
      <c r="N50" s="540" t="str">
        <f>"Monatsprofil"&amp;" "&amp;Start!$B$18</f>
        <v>Monatsprofil April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COUNTIF($D$14:$E$43,"U")-COUNTIFS($D$14:$D$43,"U",$E$14:$E$43,"K")-COUNTIFS($D$14:$D$43,"U",$E$14:$E$43,"PK")</f>
        <v>0</v>
      </c>
      <c r="C51" s="403" t="s">
        <v>18</v>
      </c>
      <c r="D51" s="404">
        <f>SUMIFS($P$14:$P$43,$D$14:$D$43,"U")+SUMIFS($P$14:$P$43,$E$14:$E$43,"U")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IF(OR(Start!$D$8=Gehalt!$K$37,Start!$D$8=Gehalt!$K$39,Start!$D$8=Gehalt!$K$41),Gehalt!$F$29,0)</f>
        <v>0</v>
      </c>
      <c r="N51" s="543"/>
      <c r="O51" s="544"/>
      <c r="P51" s="545"/>
      <c r="T51" s="253" t="s">
        <v>392</v>
      </c>
      <c r="U51" s="110">
        <f>SUMPRODUCT(($U$14:$U$43)*(ISNUMBER(FIND("Ft",$A$14:$A$43))))+SUMPRODUCT((($U$14:$U$43)*1)*(WEEKDAY($B$14:$B$43,2)=7))-SUMPRODUCT((($U$14:$U$43)*1)*(WEEKDAY($B$14:$B$43,2)=7)*(ISNUMBER(FIND("Ft",$A$14:$A$43))))</f>
        <v>0</v>
      </c>
      <c r="V51" s="110">
        <f>SUMPRODUCT(($V$14:$V$43)*(ISNUMBER(FIND("Ft",$A$14:$A$43))))+SUMPRODUCT((($V$14:$V$43)*1)*(WEEKDAY($B$14:$B$43,2)=7))-SUMPRODUCT((($V$14:$V$43)*1)*(WEEKDAY($B$14:$B$43,2)=7)*(ISNUMBER(FIND("Ft",$A$14:$A$43))))</f>
        <v>0</v>
      </c>
      <c r="W51" s="110">
        <f>SUM($W$14:$W$43)</f>
        <v>0</v>
      </c>
      <c r="X51" s="438"/>
      <c r="Y51" s="439"/>
      <c r="Z51" s="253" t="s">
        <v>392</v>
      </c>
      <c r="AA51" s="203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3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3">
        <f>SUM($AC$14:$AC$43)</f>
        <v>0</v>
      </c>
      <c r="AD51" s="203">
        <f>SUM($AD$14:$AD$43)</f>
        <v>0</v>
      </c>
      <c r="AE51" s="206"/>
      <c r="AF51" s="177"/>
      <c r="AG51" s="253" t="s">
        <v>392</v>
      </c>
      <c r="AH51" s="203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1">
        <f>COUNTIF($D$14:$E$43,"ZA")-COUNTIFS($D$14:$D$43,"ZA",$E$14:$E$43,"K")-COUNTIFS($D$14:$D$43,"ZA",$E$14:$E$43,"PK")</f>
        <v>0</v>
      </c>
      <c r="C52" s="403" t="s">
        <v>21</v>
      </c>
      <c r="D52" s="406">
        <f>SUMIFS($P$14:$P$43,$D$14:$D$43,"ZA")+SUMIFS($P$14:$P$43,$E$14:$E$43,"ZA")-$J$44</f>
        <v>0</v>
      </c>
      <c r="E52" s="407">
        <f>IF($P$47="Freizeit",SUM($N$44*1.5,$O$44*2),0)+$J$54*1.5</f>
        <v>0</v>
      </c>
      <c r="G52" s="295" t="str">
        <f>"9545 Nachtdienstpauschale Gesamt ("&amp;""&amp;Gehalt!$F$25&amp;""&amp;"€/h)"</f>
        <v>9545 Nachtdienstpauschale Gesamt (30,47€/h)</v>
      </c>
      <c r="H52" s="141"/>
      <c r="I52" s="141"/>
      <c r="J52" s="141"/>
      <c r="K52" s="245">
        <f>SUM($AF$14:$AG$43)</f>
        <v>0</v>
      </c>
      <c r="L52" s="215">
        <f>$K$52*Gehalt!$F$25</f>
        <v>0</v>
      </c>
      <c r="N52" s="538" t="s">
        <v>236</v>
      </c>
      <c r="O52" s="539"/>
      <c r="P52" s="318">
        <f>VLOOKUP($B$8,Datenblatt!$A$100:$I$112,2,FALSE)</f>
        <v>30</v>
      </c>
      <c r="T52" s="254" t="s">
        <v>103</v>
      </c>
      <c r="U52" s="249">
        <f>SUM($U$14:$U$43)-$U$51</f>
        <v>0</v>
      </c>
      <c r="V52" s="249">
        <f>SUM($V$14:$V$43)-$V$51</f>
        <v>0</v>
      </c>
      <c r="W52" s="441"/>
      <c r="X52" s="440"/>
      <c r="Y52" s="439"/>
      <c r="Z52" s="255" t="s">
        <v>103</v>
      </c>
      <c r="AA52" s="203">
        <f>SUM($AA$14:$AA$43)-$AA$51</f>
        <v>0</v>
      </c>
      <c r="AB52" s="203">
        <f>SUM($AB$14:$AB$43)-$AB$51</f>
        <v>0</v>
      </c>
      <c r="AC52" s="437"/>
      <c r="AD52" s="204"/>
      <c r="AE52" s="206"/>
      <c r="AF52" s="177"/>
      <c r="AG52" s="255" t="s">
        <v>103</v>
      </c>
      <c r="AH52" s="203">
        <f>SUM($AH$14:$AH$43)-$AH$51</f>
        <v>0</v>
      </c>
    </row>
    <row r="53" spans="2:34" s="84" customFormat="1" ht="13" customHeight="1">
      <c r="B53" s="321">
        <f>COUNTIF($D$14:$E$43,"RG")-COUNTIFS($D$14:$D$43,"U",$E$14:$E$43,"RG")-COUNTIFS($D$14:$D$43,"RG",$E$14:$E$43,"PK")</f>
        <v>0</v>
      </c>
      <c r="C53" s="325" t="s">
        <v>131</v>
      </c>
      <c r="D53" s="404">
        <f>SUMIFS($P$14:$P$43,$D$14:$D$43,"RG")+SUMIFS($P$14:$P$43,$E$14:$E$43,"RG")</f>
        <v>0</v>
      </c>
      <c r="E53" s="408">
        <f>$Q$46</f>
        <v>0</v>
      </c>
      <c r="G53" s="295" t="str">
        <f>"9547 Sonn- und Feiertagszulage ("&amp;""&amp;Gehalt!$F$26&amp;""&amp;"€/h)"</f>
        <v>9547 Sonn- und Feiertagszulage (19,15€/h)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$K$53*Gehalt!$F$26</f>
        <v>0</v>
      </c>
      <c r="N53" s="538" t="s">
        <v>237</v>
      </c>
      <c r="O53" s="539"/>
      <c r="P53" s="318">
        <f>VLOOKUP($B$8,Datenblatt!$A$100:$I$112,3,FALSE)</f>
        <v>2</v>
      </c>
      <c r="T53" s="252" t="s">
        <v>393</v>
      </c>
      <c r="U53" s="103">
        <f>SUMPRODUCT(($U$14:$U$43)*(ISNUMBER(FIND("Ft",$A$14:$A$43))))+SUMPRODUCT((($U$14:$U$43)*1)*(WEEKDAY($B$14:$B$43,2)=7))-SUMPRODUCT((($U$14:$U$43)*1)*(WEEKDAY($B$14:$B$43,2)=7)*(ISNUMBER(FIND("Ft",$A$14:$A$43))))</f>
        <v>0</v>
      </c>
      <c r="V53" s="103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2"/>
      <c r="X53" s="103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3">
        <f>SUMPRODUCT(($Y$14:$Y$43)*(ISNUMBER(FIND("Ft",$A$14:$A$43))))+SUMPRODUCT((($Y$14:$Y$43)*1)*(WEEKDAY($B$14:$B$43,2)=7))-SUMPRODUCT((($Y$14:$Y$43)*1)*(WEEKDAY($B$14:$B$43,2)=7)*(ISNUMBER(FIND("Ft",$A$14:$A$43))))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COUNTIF($D$14:$E$43,"NDG")-COUNTIFS($D$14:$D$43,"NDG",$E$14:$E$43,"K")-COUNTIFS($D$14:$D$43,"NDG",$E$14:$E$43,"PK")</f>
        <v>0</v>
      </c>
      <c r="C54" s="325" t="s">
        <v>130</v>
      </c>
      <c r="D54" s="404">
        <f>SUMIFS($P$14:$P$43,$D$14:$D$43,"NDG")+SUMIFS($P$14:$P$43,$E$14:$E$43,"NDG")</f>
        <v>0</v>
      </c>
      <c r="E54" s="408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35" t="s">
        <v>294</v>
      </c>
      <c r="H54" s="536"/>
      <c r="I54" s="537"/>
      <c r="J54" s="356">
        <v>0</v>
      </c>
      <c r="K54" s="214">
        <f>IF($P$47="finanziell",SUM($L$62),0)+$L$66+$L$70-$J$54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SUMIFS($M$14:$M$43,$D$14:$D$43,"U")</f>
        <v>0</v>
      </c>
      <c r="E55" s="405"/>
      <c r="G55" s="295" t="s">
        <v>226</v>
      </c>
      <c r="H55" s="141"/>
      <c r="I55" s="141"/>
      <c r="J55" s="141"/>
      <c r="K55" s="214">
        <f>IF($P$47="finanziell",SUM($L$63),0)+$L$71+$L$67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21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COUNTIF($D$14:$E$43,"SU")-COUNTIFS($D$14:$D$43,"SU",$E$14:$E$43,"K")-COUNTIFS($D$14:$D$43,"SU",$E$14:$E$43,"PK")</f>
        <v>0</v>
      </c>
      <c r="C56" s="325" t="s">
        <v>171</v>
      </c>
      <c r="D56" s="404">
        <f>SUMIFS($M$14:$M$43,$D$14:$D$43,"SU")</f>
        <v>0</v>
      </c>
      <c r="E56" s="405"/>
      <c r="G56" s="295" t="s">
        <v>284</v>
      </c>
      <c r="H56" s="141"/>
      <c r="I56" s="141"/>
      <c r="J56" s="141"/>
      <c r="K56" s="213">
        <f ca="1">IF(März!$P$63-SUM(Start!$E$36:$E$37,Start!$E$15:$E$18)*2&lt;=0,0,März!$P$63-SUM(Start!$E$36:$E$37,Start!$E$15:$E$18)*2)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22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COUNTIF($D$14:$E$43,"PK")</f>
        <v>0</v>
      </c>
      <c r="C57" s="325" t="s">
        <v>170</v>
      </c>
      <c r="D57" s="404">
        <f>SUMIFS($M$14:$M$43,$D$14:$D$43,"PK")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IF(OR(Start!$D$8=Gehalt!$K$37,Start!$D$8=Gehalt!$K$39,Start!$D$8=Gehalt!$K$41),SUMIFS($M$14:$M$43,$Q$14:$Q$43,"=Tagdienst*",$E$14:$E$43,"&lt;&gt;*")+SUMIFS($AH$14:$AH$43,$R$14:$R$43,"=Tagdienst*"),0)</f>
        <v>0</v>
      </c>
      <c r="L57" s="215">
        <f>$K$57*Gehalt!$F$28</f>
        <v>0</v>
      </c>
      <c r="N57" s="538" t="s">
        <v>235</v>
      </c>
      <c r="O57" s="539"/>
      <c r="P57" s="318">
        <f>VLOOKUP($B$8,Datenblatt!$A$100:$I$112,6,FALSE)</f>
        <v>168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COUNTIF($D$14:$E$43,"K")+COUNTIF($D$14:$E$43,"KA")</f>
        <v>0</v>
      </c>
      <c r="C58" s="325" t="s">
        <v>412</v>
      </c>
      <c r="D58" s="404">
        <f>SUMIFS($M$14:$M$43,$D$14:$D$43,"K")+SUMIFS($M$14:$M$43,$D$14:$D$43,"KA")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IF($J$58="ja",Gehalt!$F$27*2,0)</f>
        <v>0</v>
      </c>
      <c r="N58" s="546" t="str">
        <f>"Stundenkonto Monatsende"&amp;" "&amp;Start!$B$18</f>
        <v>Stundenkonto Monatsende April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COUNTIF($L$14:$L$43,"n.b.")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COUNTIF($D$14:$E$43,"DV")</f>
        <v>0</v>
      </c>
      <c r="C60" s="325" t="s">
        <v>110</v>
      </c>
      <c r="D60" s="404">
        <f>SUMIFS($P$14:$P$43,$D$14:$D$43,"DV")+SUMIFS($P$14:$P$43,$E$14:$E$43,"DV")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46.29</v>
      </c>
      <c r="N60" s="538" t="s">
        <v>233</v>
      </c>
      <c r="O60" s="539"/>
      <c r="P60" s="318">
        <f>Start!$C$32+SUM(Jänner:April!$D$51)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COUNTIF($D$14:$E$43,"WR")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61.72</v>
      </c>
      <c r="N61" s="538" t="s">
        <v>234</v>
      </c>
      <c r="O61" s="539"/>
      <c r="P61" s="319">
        <f>Start!$C$33+SUM(Jänner:April!$D$52)+SUM(Jänner:April!$E$52)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355"/>
      <c r="L62" s="342">
        <f>SUM($N$14:$N$43)</f>
        <v>0</v>
      </c>
      <c r="M62" s="84"/>
      <c r="N62" s="538" t="s">
        <v>147</v>
      </c>
      <c r="O62" s="539"/>
      <c r="P62" s="318">
        <f>Start!$C$34+SUM(Jänner:April!$D$53)+SUM(Jänner:April!$E$53)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SUM($O$14:$O$43)</f>
        <v>0</v>
      </c>
      <c r="M63" s="84"/>
      <c r="N63" s="610" t="s">
        <v>165</v>
      </c>
      <c r="O63" s="611"/>
      <c r="P63" s="320">
        <f ca="1">Start!$C$35+SUM(Jänner:April!$D$54)+SUM(Jänner:April!$E$54)-SUM(Jänner:April!$K$56)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SUM(Jänner:April!$D$51)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SUM(Jänner:April!$D$52)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SUM(Jänner:April!$D$53)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SUM(Jänner:April!$D$54)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SUM(Jänner:April!$B$56)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SUM(Jänner:April!$B$57)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SUM(Jänner:April!$B$58)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168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SUMPRODUCT(($D$14:$D$43="ND")*($A$14:$A$43="Ft"))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SUMPRODUCT(($A$13:$A$42="Ft")*($D$13:$D$42="ND")*($A$14:$A$43="Ft"))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SUMPRODUCT((WEEKDAY($B$13:$B$42,2)=6)*($D$13:$D$42="ND12,5"))-SUMPRODUCT((WEEKDAY($B$13:$B$42,2)=6)*($D$13:$D$42="ND12,5")*($A$13:$A$42="Ft"))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SUMPRODUCT((WEEKDAY($B$14:$B$43,2)=7)*($D$14:$D$43="ND12,5"))-SUMPRODUCT((WEEKDAY($B$14:$B$43,2)=7)*($D$14:$D$43="ND12,5")*($A$14:$A$43="Ft"))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SUMPRODUCT(($D$14:$D$43="ND12,5")*($A$14:$A$43="Ft"))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SUMPRODUCT(($A$13:$A$42="Ft")*($D$13:$D$42="ND12,5")*($A$14:$A$43="Ft"))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OrlxPSio7WL3dzUcVgp4Daq5o4LOFXbVBHb8W6vGY6rlQFFnnPGU/8XV2HHoC7+0T5MD3uMts2rYID9HrFwTlw==" saltValue="FAxMOqp1iQGBTUj3wiq92Q==" spinCount="100000" sheet="1" selectLockedCells="1"/>
  <mergeCells count="63">
    <mergeCell ref="N55:O55"/>
    <mergeCell ref="N63:O63"/>
    <mergeCell ref="N64:P65"/>
    <mergeCell ref="N69:O69"/>
    <mergeCell ref="N67:O67"/>
    <mergeCell ref="N68:O68"/>
    <mergeCell ref="N66:O66"/>
    <mergeCell ref="N5:P5"/>
    <mergeCell ref="AG10:AG11"/>
    <mergeCell ref="S9:S11"/>
    <mergeCell ref="P9:P11"/>
    <mergeCell ref="O9:O11"/>
    <mergeCell ref="Q9:Q11"/>
    <mergeCell ref="R9:R11"/>
    <mergeCell ref="AF10:AF11"/>
    <mergeCell ref="AA10:AE10"/>
    <mergeCell ref="U10:Y10"/>
    <mergeCell ref="N9:N11"/>
    <mergeCell ref="B3:J4"/>
    <mergeCell ref="N8:P8"/>
    <mergeCell ref="B8:C8"/>
    <mergeCell ref="B7:C7"/>
    <mergeCell ref="K6:M6"/>
    <mergeCell ref="N6:P6"/>
    <mergeCell ref="K7:M7"/>
    <mergeCell ref="N7:P7"/>
    <mergeCell ref="E7:G7"/>
    <mergeCell ref="H7:J7"/>
    <mergeCell ref="K8:M8"/>
    <mergeCell ref="E8:G8"/>
    <mergeCell ref="B5:E5"/>
    <mergeCell ref="B6:E6"/>
    <mergeCell ref="F5:J5"/>
    <mergeCell ref="K5:M5"/>
    <mergeCell ref="F6:J6"/>
    <mergeCell ref="H8:J8"/>
    <mergeCell ref="B9:C11"/>
    <mergeCell ref="D9:D11"/>
    <mergeCell ref="E9:E11"/>
    <mergeCell ref="F9:G10"/>
    <mergeCell ref="H9:I10"/>
    <mergeCell ref="C50:D50"/>
    <mergeCell ref="G54:I54"/>
    <mergeCell ref="N50:P51"/>
    <mergeCell ref="N52:O52"/>
    <mergeCell ref="N53:O53"/>
    <mergeCell ref="N54:O54"/>
    <mergeCell ref="N70:O70"/>
    <mergeCell ref="N71:O71"/>
    <mergeCell ref="N72:O72"/>
    <mergeCell ref="K9:K11"/>
    <mergeCell ref="J9:J11"/>
    <mergeCell ref="N13:O13"/>
    <mergeCell ref="L9:L11"/>
    <mergeCell ref="M9:M11"/>
    <mergeCell ref="L46:O46"/>
    <mergeCell ref="L47:O47"/>
    <mergeCell ref="N61:O61"/>
    <mergeCell ref="N62:O62"/>
    <mergeCell ref="N56:O56"/>
    <mergeCell ref="N57:O57"/>
    <mergeCell ref="N58:P59"/>
    <mergeCell ref="N60:O60"/>
  </mergeCells>
  <conditionalFormatting sqref="A13:A43">
    <cfRule type="cellIs" dxfId="441" priority="2" operator="equal">
      <formula>"HFT"</formula>
    </cfRule>
    <cfRule type="cellIs" dxfId="440" priority="3" operator="equal">
      <formula>"FT"</formula>
    </cfRule>
  </conditionalFormatting>
  <conditionalFormatting sqref="A44">
    <cfRule type="cellIs" dxfId="439" priority="222" operator="equal">
      <formula>"Ft"</formula>
    </cfRule>
  </conditionalFormatting>
  <conditionalFormatting sqref="B13:C43">
    <cfRule type="expression" dxfId="438" priority="223">
      <formula>WEEKDAY($C13,2)&gt;5</formula>
    </cfRule>
  </conditionalFormatting>
  <conditionalFormatting sqref="E8">
    <cfRule type="cellIs" dxfId="436" priority="34" operator="greaterThan">
      <formula>48</formula>
    </cfRule>
  </conditionalFormatting>
  <conditionalFormatting sqref="I46:K46">
    <cfRule type="cellIs" dxfId="435" priority="74" operator="equal">
      <formula>"Wochenarbeitszeit überschritten"</formula>
    </cfRule>
  </conditionalFormatting>
  <conditionalFormatting sqref="J44:P44">
    <cfRule type="cellIs" dxfId="434" priority="114" operator="equal">
      <formula>0</formula>
    </cfRule>
  </conditionalFormatting>
  <conditionalFormatting sqref="K8">
    <cfRule type="cellIs" dxfId="433" priority="155" operator="lessThan">
      <formula>$N$8</formula>
    </cfRule>
    <cfRule type="cellIs" dxfId="432" priority="154" operator="greaterThan">
      <formula>$N$8</formula>
    </cfRule>
    <cfRule type="cellIs" dxfId="431" priority="153" operator="equal">
      <formula>$N$8</formula>
    </cfRule>
  </conditionalFormatting>
  <conditionalFormatting sqref="K14:K43">
    <cfRule type="cellIs" dxfId="430" priority="22" operator="lessThanOrEqual">
      <formula>0</formula>
    </cfRule>
    <cfRule type="cellIs" dxfId="429" priority="23" operator="greaterThan">
      <formula>0</formula>
    </cfRule>
  </conditionalFormatting>
  <conditionalFormatting sqref="K44">
    <cfRule type="cellIs" dxfId="428" priority="199" operator="lessThan">
      <formula>0</formula>
    </cfRule>
  </conditionalFormatting>
  <conditionalFormatting sqref="N14:O43">
    <cfRule type="cellIs" dxfId="427" priority="5" operator="equal">
      <formula>0</formula>
    </cfRule>
  </conditionalFormatting>
  <conditionalFormatting sqref="P13:P43">
    <cfRule type="cellIs" dxfId="426" priority="1" operator="equal">
      <formula>0</formula>
    </cfRule>
  </conditionalFormatting>
  <conditionalFormatting sqref="P60:P63">
    <cfRule type="cellIs" dxfId="425" priority="48" operator="lessThan">
      <formula>0</formula>
    </cfRule>
  </conditionalFormatting>
  <conditionalFormatting sqref="Q46">
    <cfRule type="cellIs" dxfId="424" priority="37" operator="equal">
      <formula>0</formula>
    </cfRule>
  </conditionalFormatting>
  <conditionalFormatting sqref="T14:T43">
    <cfRule type="cellIs" dxfId="423" priority="219" operator="equal">
      <formula>0</formula>
    </cfRule>
  </conditionalFormatting>
  <conditionalFormatting sqref="T51:W51">
    <cfRule type="cellIs" dxfId="422" priority="19" operator="equal">
      <formula>0</formula>
    </cfRule>
  </conditionalFormatting>
  <conditionalFormatting sqref="T44:AH44">
    <cfRule type="cellIs" dxfId="421" priority="43" operator="equal">
      <formula>0</formula>
    </cfRule>
  </conditionalFormatting>
  <conditionalFormatting sqref="U15:W43">
    <cfRule type="cellIs" dxfId="420" priority="181" operator="equal">
      <formula>0</formula>
    </cfRule>
  </conditionalFormatting>
  <conditionalFormatting sqref="U51:Y53">
    <cfRule type="cellIs" dxfId="419" priority="9" operator="equal">
      <formula>0</formula>
    </cfRule>
  </conditionalFormatting>
  <conditionalFormatting sqref="V14">
    <cfRule type="cellIs" dxfId="418" priority="218" operator="equal">
      <formula>0</formula>
    </cfRule>
  </conditionalFormatting>
  <conditionalFormatting sqref="V13:W13">
    <cfRule type="cellIs" dxfId="417" priority="124" operator="equal">
      <formula>0</formula>
    </cfRule>
  </conditionalFormatting>
  <conditionalFormatting sqref="W52">
    <cfRule type="cellIs" dxfId="416" priority="13" operator="equal">
      <formula>0</formula>
    </cfRule>
  </conditionalFormatting>
  <conditionalFormatting sqref="X13:Z43">
    <cfRule type="cellIs" dxfId="415" priority="51" operator="equal">
      <formula>0</formula>
    </cfRule>
  </conditionalFormatting>
  <conditionalFormatting sqref="Z51:AC51">
    <cfRule type="cellIs" dxfId="414" priority="17" operator="equal">
      <formula>0</formula>
    </cfRule>
  </conditionalFormatting>
  <conditionalFormatting sqref="AA14:AB43">
    <cfRule type="cellIs" dxfId="413" priority="24" operator="equal">
      <formula>0</formula>
    </cfRule>
  </conditionalFormatting>
  <conditionalFormatting sqref="AA51:AE52">
    <cfRule type="cellIs" dxfId="412" priority="14" operator="equal">
      <formula>0</formula>
    </cfRule>
  </conditionalFormatting>
  <conditionalFormatting sqref="AC13:AG43">
    <cfRule type="cellIs" dxfId="411" priority="50" operator="equal">
      <formula>0</formula>
    </cfRule>
  </conditionalFormatting>
  <conditionalFormatting sqref="AG51:AH51">
    <cfRule type="cellIs" dxfId="410" priority="8" operator="equal">
      <formula>0</formula>
    </cfRule>
  </conditionalFormatting>
  <conditionalFormatting sqref="AH14:AH43">
    <cfRule type="cellIs" dxfId="409" priority="26" operator="equal">
      <formula>0</formula>
    </cfRule>
  </conditionalFormatting>
  <conditionalFormatting sqref="AH51:AH52">
    <cfRule type="cellIs" dxfId="408" priority="6" operator="equal">
      <formula>0</formula>
    </cfRule>
  </conditionalFormatting>
  <dataValidations count="4">
    <dataValidation type="list" allowBlank="1" showInputMessage="1" showErrorMessage="1" sqref="J14:J43" xr:uid="{113D733B-46AB-4CBC-8828-CCB8CCC0751B}">
      <formula1>AbwesenheitenStunden</formula1>
    </dataValidation>
    <dataValidation type="list" allowBlank="1" showInputMessage="1" showErrorMessage="1" error="Die Eingabe ist unzulässig_x000a_Bitte Drop Down Felder verwenden" sqref="F14:G43" xr:uid="{5F1C2FAA-BD65-4DC3-9DDC-205B126696C7}">
      <formula1>Zeiten1</formula1>
    </dataValidation>
    <dataValidation type="decimal" allowBlank="1" showInputMessage="1" showErrorMessage="1" error="Die ausgewählte Stundenanzahl steht nicht zur Verfügung!" sqref="J54" xr:uid="{00000000-0002-0000-0600-000003000000}">
      <formula1>0</formula1>
      <formula2>K54</formula2>
    </dataValidation>
    <dataValidation type="list" allowBlank="1" showInputMessage="1" showErrorMessage="1" sqref="H14:I43" xr:uid="{02013698-0FA3-42DB-A481-19E5600D8771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5" id="{C49A6716-1014-4A62-99E4-88643401A291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600-000007000000}">
          <x14:formula1>
            <xm:f>Datenblatt!$A$31:$A$51</xm:f>
          </x14:formula1>
          <xm:sqref>A45 L45:AE45 AI45:XFD45 AF46:AH46</xm:sqref>
        </x14:dataValidation>
        <x14:dataValidation type="list" allowBlank="1" showInputMessage="1" showErrorMessage="1" xr:uid="{233F8769-5C1C-4715-9C03-6456C2F4223A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FCBA3C68-3206-41E2-8039-FCDD94F7E287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FA5E6232-C7C0-4E2F-B599-47D35243FB68}">
          <x14:formula1>
            <xm:f>Datenblatt!$D$58:$D$59</xm:f>
          </x14:formula1>
          <xm:sqref>P46 J58</xm:sqref>
        </x14:dataValidation>
        <x14:dataValidation type="list" allowBlank="1" showInputMessage="1" showErrorMessage="1" xr:uid="{435029A9-7D68-4C5D-B12C-F41FA8A800DD}">
          <x14:formula1>
            <xm:f>Datenblatt!$D$52:$D$53</xm:f>
          </x14:formula1>
          <xm:sqref>P47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IF(SUM(N14:O44,L13:L44,AA51:AD51,AA52:AB52)=0,Datenblatt!J104,SUM(N14:O44,L13:L44,AA51:AD51,AA52:AB52,AH51:AH52))</f>
        <v>201.60000000000002</v>
      </c>
      <c r="L6" s="555"/>
      <c r="M6" s="555"/>
      <c r="N6" s="574">
        <f>COUNTIF(D14:E44,"ND")+COUNTIF(D14:E44,"ND12,5")</f>
        <v>0</v>
      </c>
      <c r="O6" s="574"/>
      <c r="P6" s="575"/>
      <c r="Q6" s="491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DATE($D$8,5,1)</f>
        <v>46143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SUM(M13:M44)</f>
        <v>0</v>
      </c>
      <c r="L8" s="554"/>
      <c r="M8" s="554"/>
      <c r="N8" s="555">
        <f>VLOOKUP($B$8,Datenblatt!A100:F123,6,FALSE)</f>
        <v>144</v>
      </c>
      <c r="O8" s="555"/>
      <c r="P8" s="556"/>
      <c r="Q8" s="491">
        <f ca="1">IF($L$50="","",SUM($L$50:$L$59))</f>
        <v>5374.6299999999992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4" si="0">C13</f>
        <v>46142</v>
      </c>
      <c r="C13" s="139">
        <f>C14-1</f>
        <v>46142</v>
      </c>
      <c r="D13" s="143" t="str">
        <f>IF(April!D$43="","",April!D$43)</f>
        <v/>
      </c>
      <c r="E13" s="140" t="str">
        <f>IF(April!E$43="","",April!E$43)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>Ft</v>
      </c>
      <c r="B14" s="80">
        <f t="shared" si="0"/>
        <v>46143</v>
      </c>
      <c r="C14" s="81">
        <f>DATE($D$8,MONTH(B$8),1)</f>
        <v>46143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4" si="2">IF(AND(F14="",G14=""),"",IF(OR(F14&gt;G14,AND(F14="",G14&gt;0),F14=G14),"ungültig",IF(OR(WEEKDAY(B14,2)=7,A14="Ft"),0,(G14-F14)*24)))</f>
        <v/>
      </c>
      <c r="O14" s="200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5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46144</v>
      </c>
      <c r="C15" s="82">
        <f t="shared" ref="C15:C41" si="4">C14+1</f>
        <v>46144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4" si="5">IF(K15="",0,K15)</f>
        <v>0</v>
      </c>
      <c r="U15" s="105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3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3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IF(T15=0,0,IF((AND((ROW(T15)=MATCH(TRUE,($T$1:$T$44)&gt;0,0)))),IF(W15&gt;=6,W15-6,0),IF(W15&gt;=2,2,W15)))</f>
        <v>0</v>
      </c>
      <c r="Y15" s="242">
        <f t="array" ref="Y15">IF(T14=0,0,(IF((AND((ROW(T14)=MATCH(TRUE,($T$1:$T$44)&gt;0,0)))),IF(W14&gt;=6,6,W14),IF(W14&gt;=2,W14-2,0))))</f>
        <v>0</v>
      </c>
      <c r="Z15" s="102" t="str">
        <f t="shared" ref="Z15:Z44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4" si="7">IF(OR(E15="ND",E15="ND12,5"),2,0)</f>
        <v>0</v>
      </c>
      <c r="AD15" s="203">
        <f t="shared" ref="AD15:AD44" si="8">IF(OR(E14="ND",E14="ND12,5"),6,0)</f>
        <v>0</v>
      </c>
      <c r="AE15" s="203">
        <f t="shared" ref="AE15:AE44" si="9">IF(AND(E14="ND",AA15&gt;=2),1,IF(AND(E14="ND12,5",AA15&gt;=2),0.5,0))</f>
        <v>0</v>
      </c>
      <c r="AF15" s="103">
        <f t="shared" ref="AF15:AF44" si="10">IF(OR(D15="ND",D15="ND12,5"),2-X15,0)</f>
        <v>0</v>
      </c>
      <c r="AG15" s="103">
        <f t="shared" ref="AG15:AG44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46145</v>
      </c>
      <c r="C16" s="82">
        <f t="shared" si="4"/>
        <v>46145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>
        <f t="shared" si="3"/>
        <v>0</v>
      </c>
      <c r="P16" s="175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3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3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IF(T16=0,0,IF((AND((ROW(T16)=MATCH(TRUE,($T$1:$T$44)&gt;0,0)))),IF(W16&gt;=6,W16-6,0),IF(W16&gt;=2,2,W16)))</f>
        <v>0</v>
      </c>
      <c r="Y16" s="242">
        <f t="array" ref="Y16">IF(T15=0,0,(IF((AND((ROW(T15)=MATCH(TRUE,($T$1:$T$44)&gt;0,0)))),IF(W15&gt;=6,6,W15),IF(W15&gt;=2,W15-2,0))))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46146</v>
      </c>
      <c r="C17" s="82">
        <f t="shared" si="4"/>
        <v>46146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 t="str">
        <f t="shared" si="3"/>
        <v/>
      </c>
      <c r="P17" s="175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3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3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IF(T17=0,0,IF((AND((ROW(T17)=MATCH(TRUE,($T$1:$T$44)&gt;0,0)))),IF(W17&gt;=6,W17-6,0),IF(W17&gt;=2,2,W17)))</f>
        <v>0</v>
      </c>
      <c r="Y17" s="242">
        <f t="array" ref="Y17">IF(T16=0,0,(IF((AND((ROW(T16)=MATCH(TRUE,($T$1:$T$44)&gt;0,0)))),IF(W16&gt;=6,6,W16),IF(W16&gt;=2,W16-2,0))))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46147</v>
      </c>
      <c r="C18" s="82">
        <f t="shared" si="4"/>
        <v>46147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3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3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IF(T18=0,0,IF((AND((ROW(T18)=MATCH(TRUE,($T$1:$T$44)&gt;0,0)))),IF(W18&gt;=6,W18-6,0),IF(W18&gt;=2,2,W18)))</f>
        <v>0</v>
      </c>
      <c r="Y18" s="242">
        <f t="array" ref="Y18">IF(T17=0,0,(IF((AND((ROW(T17)=MATCH(TRUE,($T$1:$T$44)&gt;0,0)))),IF(W17&gt;=6,6,W17),IF(W17&gt;=2,W17-2,0))))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46148</v>
      </c>
      <c r="C19" s="82">
        <f t="shared" si="4"/>
        <v>46148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3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3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IF(T19=0,0,IF((AND((ROW(T19)=MATCH(TRUE,($T$1:$T$44)&gt;0,0)))),IF(W19&gt;=6,W19-6,0),IF(W19&gt;=2,2,W19)))</f>
        <v>0</v>
      </c>
      <c r="Y19" s="242">
        <f t="array" ref="Y19">IF(T18=0,0,(IF((AND((ROW(T18)=MATCH(TRUE,($T$1:$T$44)&gt;0,0)))),IF(W18&gt;=6,6,W18),IF(W18&gt;=2,W18-2,0))))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46149</v>
      </c>
      <c r="C20" s="82">
        <f t="shared" si="4"/>
        <v>46149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 t="str">
        <f t="shared" si="3"/>
        <v/>
      </c>
      <c r="P20" s="175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3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3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IF(T20=0,0,IF((AND((ROW(T20)=MATCH(TRUE,($T$1:$T$44)&gt;0,0)))),IF(W20&gt;=6,W20-6,0),IF(W20&gt;=2,2,W20)))</f>
        <v>0</v>
      </c>
      <c r="Y20" s="242">
        <f t="array" ref="Y20">IF(T19=0,0,(IF((AND((ROW(T19)=MATCH(TRUE,($T$1:$T$44)&gt;0,0)))),IF(W19&gt;=6,6,W19),IF(W19&gt;=2,W19-2,0))))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46150</v>
      </c>
      <c r="C21" s="82">
        <f t="shared" si="4"/>
        <v>46150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3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3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IF(T21=0,0,IF((AND((ROW(T21)=MATCH(TRUE,($T$1:$T$44)&gt;0,0)))),IF(W21&gt;=6,W21-6,0),IF(W21&gt;=2,2,W21)))</f>
        <v>0</v>
      </c>
      <c r="Y21" s="242">
        <f t="array" ref="Y21">IF(T20=0,0,(IF((AND((ROW(T20)=MATCH(TRUE,($T$1:$T$44)&gt;0,0)))),IF(W20&gt;=6,6,W20),IF(W20&gt;=2,W20-2,0))))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46151</v>
      </c>
      <c r="C22" s="82">
        <f t="shared" si="4"/>
        <v>46151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3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3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IF(T22=0,0,IF((AND((ROW(T22)=MATCH(TRUE,($T$1:$T$44)&gt;0,0)))),IF(W22&gt;=6,W22-6,0),IF(W22&gt;=2,2,W22)))</f>
        <v>0</v>
      </c>
      <c r="Y22" s="242">
        <f t="array" ref="Y22">IF(T21=0,0,(IF((AND((ROW(T21)=MATCH(TRUE,($T$1:$T$44)&gt;0,0)))),IF(W21&gt;=6,6,W21),IF(W21&gt;=2,W21-2,0))))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46152</v>
      </c>
      <c r="C23" s="82">
        <f t="shared" si="4"/>
        <v>46152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>
        <f t="shared" si="3"/>
        <v>0</v>
      </c>
      <c r="P23" s="175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3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3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IF(T23=0,0,IF((AND((ROW(T23)=MATCH(TRUE,($T$1:$T$44)&gt;0,0)))),IF(W23&gt;=6,W23-6,0),IF(W23&gt;=2,2,W23)))</f>
        <v>0</v>
      </c>
      <c r="Y23" s="242">
        <f t="array" ref="Y23">IF(T22=0,0,(IF((AND((ROW(T22)=MATCH(TRUE,($T$1:$T$44)&gt;0,0)))),IF(W22&gt;=6,6,W22),IF(W22&gt;=2,W22-2,0))))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46153</v>
      </c>
      <c r="C24" s="82">
        <f t="shared" si="4"/>
        <v>46153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3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3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IF(T24=0,0,IF((AND((ROW(T24)=MATCH(TRUE,($T$1:$T$44)&gt;0,0)))),IF(W24&gt;=6,W24-6,0),IF(W24&gt;=2,2,W24)))</f>
        <v>0</v>
      </c>
      <c r="Y24" s="242">
        <f t="array" ref="Y24">IF(T23=0,0,(IF((AND((ROW(T23)=MATCH(TRUE,($T$1:$T$44)&gt;0,0)))),IF(W23&gt;=6,6,W23),IF(W23&gt;=2,W23-2,0))))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46154</v>
      </c>
      <c r="C25" s="82">
        <f t="shared" si="4"/>
        <v>46154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3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3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IF(T25=0,0,IF((AND((ROW(T25)=MATCH(TRUE,($T$1:$T$44)&gt;0,0)))),IF(W25&gt;=6,W25-6,0),IF(W25&gt;=2,2,W25)))</f>
        <v>0</v>
      </c>
      <c r="Y25" s="242">
        <f t="array" ref="Y25">IF(T24=0,0,(IF((AND((ROW(T24)=MATCH(TRUE,($T$1:$T$44)&gt;0,0)))),IF(W24&gt;=6,6,W24),IF(W24&gt;=2,W24-2,0))))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46155</v>
      </c>
      <c r="C26" s="82">
        <f t="shared" si="4"/>
        <v>46155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3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3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IF(T26=0,0,IF((AND((ROW(T26)=MATCH(TRUE,($T$1:$T$44)&gt;0,0)))),IF(W26&gt;=6,W26-6,0),IF(W26&gt;=2,2,W26)))</f>
        <v>0</v>
      </c>
      <c r="Y26" s="242">
        <f t="array" ref="Y26">IF(T25=0,0,(IF((AND((ROW(T25)=MATCH(TRUE,($T$1:$T$44)&gt;0,0)))),IF(W25&gt;=6,6,W25),IF(W25&gt;=2,W25-2,0))))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>Ft</v>
      </c>
      <c r="B27" s="80">
        <f t="shared" si="0"/>
        <v>46156</v>
      </c>
      <c r="C27" s="82">
        <f t="shared" si="4"/>
        <v>46156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>
        <f t="shared" si="3"/>
        <v>0</v>
      </c>
      <c r="P27" s="175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3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3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IF(T27=0,0,IF((AND((ROW(T27)=MATCH(TRUE,($T$1:$T$44)&gt;0,0)))),IF(W27&gt;=6,W27-6,0),IF(W27&gt;=2,2,W27)))</f>
        <v>0</v>
      </c>
      <c r="Y27" s="242">
        <f t="array" ref="Y27">IF(T26=0,0,(IF((AND((ROW(T26)=MATCH(TRUE,($T$1:$T$44)&gt;0,0)))),IF(W26&gt;=6,6,W26),IF(W26&gt;=2,W26-2,0))))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46157</v>
      </c>
      <c r="C28" s="82">
        <f t="shared" si="4"/>
        <v>46157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3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3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IF(T28=0,0,IF((AND((ROW(T28)=MATCH(TRUE,($T$1:$T$44)&gt;0,0)))),IF(W28&gt;=6,W28-6,0),IF(W28&gt;=2,2,W28)))</f>
        <v>0</v>
      </c>
      <c r="Y28" s="242">
        <f t="array" ref="Y28">IF(T27=0,0,(IF((AND((ROW(T27)=MATCH(TRUE,($T$1:$T$44)&gt;0,0)))),IF(W27&gt;=6,6,W27),IF(W27&gt;=2,W27-2,0))))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46158</v>
      </c>
      <c r="C29" s="82">
        <f t="shared" si="4"/>
        <v>46158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3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3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IF(T29=0,0,IF((AND((ROW(T29)=MATCH(TRUE,($T$1:$T$44)&gt;0,0)))),IF(W29&gt;=6,W29-6,0),IF(W29&gt;=2,2,W29)))</f>
        <v>0</v>
      </c>
      <c r="Y29" s="242">
        <f t="array" ref="Y29">IF(T28=0,0,(IF((AND((ROW(T28)=MATCH(TRUE,($T$1:$T$44)&gt;0,0)))),IF(W28&gt;=6,6,W28),IF(W28&gt;=2,W28-2,0))))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46159</v>
      </c>
      <c r="C30" s="82">
        <f t="shared" si="4"/>
        <v>46159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>
        <f t="shared" si="3"/>
        <v>0</v>
      </c>
      <c r="P30" s="175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3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3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IF(T30=0,0,IF((AND((ROW(T30)=MATCH(TRUE,($T$1:$T$44)&gt;0,0)))),IF(W30&gt;=6,W30-6,0),IF(W30&gt;=2,2,W30)))</f>
        <v>0</v>
      </c>
      <c r="Y30" s="242">
        <f t="array" ref="Y30">IF(T29=0,0,(IF((AND((ROW(T29)=MATCH(TRUE,($T$1:$T$44)&gt;0,0)))),IF(W29&gt;=6,6,W29),IF(W29&gt;=2,W29-2,0))))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46160</v>
      </c>
      <c r="C31" s="82">
        <f t="shared" si="4"/>
        <v>46160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3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3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IF(T31=0,0,IF((AND((ROW(T31)=MATCH(TRUE,($T$1:$T$44)&gt;0,0)))),IF(W31&gt;=6,W31-6,0),IF(W31&gt;=2,2,W31)))</f>
        <v>0</v>
      </c>
      <c r="Y31" s="242">
        <f t="array" ref="Y31">IF(T30=0,0,(IF((AND((ROW(T30)=MATCH(TRUE,($T$1:$T$44)&gt;0,0)))),IF(W30&gt;=6,6,W30),IF(W30&gt;=2,W30-2,0))))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46161</v>
      </c>
      <c r="C32" s="82">
        <f t="shared" si="4"/>
        <v>46161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3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3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IF(T32=0,0,IF((AND((ROW(T32)=MATCH(TRUE,($T$1:$T$44)&gt;0,0)))),IF(W32&gt;=6,W32-6,0),IF(W32&gt;=2,2,W32)))</f>
        <v>0</v>
      </c>
      <c r="Y32" s="242">
        <f t="array" ref="Y32">IF(T31=0,0,(IF((AND((ROW(T31)=MATCH(TRUE,($T$1:$T$44)&gt;0,0)))),IF(W31&gt;=6,6,W31),IF(W31&gt;=2,W31-2,0))))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46162</v>
      </c>
      <c r="C33" s="82">
        <f t="shared" si="4"/>
        <v>46162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3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3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IF(T33=0,0,IF((AND((ROW(T33)=MATCH(TRUE,($T$1:$T$44)&gt;0,0)))),IF(W33&gt;=6,W33-6,0),IF(W33&gt;=2,2,W33)))</f>
        <v>0</v>
      </c>
      <c r="Y33" s="242">
        <f t="array" ref="Y33">IF(T32=0,0,(IF((AND((ROW(T32)=MATCH(TRUE,($T$1:$T$44)&gt;0,0)))),IF(W32&gt;=6,6,W32),IF(W32&gt;=2,W32-2,0))))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46163</v>
      </c>
      <c r="C34" s="82">
        <f t="shared" si="4"/>
        <v>46163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 t="str">
        <f t="shared" si="3"/>
        <v/>
      </c>
      <c r="P34" s="175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3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3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IF(T34=0,0,IF((AND((ROW(T34)=MATCH(TRUE,($T$1:$T$44)&gt;0,0)))),IF(W34&gt;=6,W34-6,0),IF(W34&gt;=2,2,W34)))</f>
        <v>0</v>
      </c>
      <c r="Y34" s="242">
        <f t="array" ref="Y34">IF(T33=0,0,(IF((AND((ROW(T33)=MATCH(TRUE,($T$1:$T$44)&gt;0,0)))),IF(W33&gt;=6,6,W33),IF(W33&gt;=2,W33-2,0))))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46164</v>
      </c>
      <c r="C35" s="82">
        <f t="shared" si="4"/>
        <v>46164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3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3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IF(T35=0,0,IF((AND((ROW(T35)=MATCH(TRUE,($T$1:$T$44)&gt;0,0)))),IF(W35&gt;=6,W35-6,0),IF(W35&gt;=2,2,W35)))</f>
        <v>0</v>
      </c>
      <c r="Y35" s="242">
        <f t="array" ref="Y35">IF(T34=0,0,(IF((AND((ROW(T34)=MATCH(TRUE,($T$1:$T$44)&gt;0,0)))),IF(W34&gt;=6,6,W34),IF(W34&gt;=2,W34-2,0))))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46165</v>
      </c>
      <c r="C36" s="82">
        <f t="shared" si="4"/>
        <v>46165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3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3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IF(T36=0,0,IF((AND((ROW(T36)=MATCH(TRUE,($T$1:$T$44)&gt;0,0)))),IF(W36&gt;=6,W36-6,0),IF(W36&gt;=2,2,W36)))</f>
        <v>0</v>
      </c>
      <c r="Y36" s="242">
        <f t="array" ref="Y36">IF(T35=0,0,(IF((AND((ROW(T35)=MATCH(TRUE,($T$1:$T$44)&gt;0,0)))),IF(W35&gt;=6,6,W35),IF(W35&gt;=2,W35-2,0))))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46166</v>
      </c>
      <c r="C37" s="82">
        <f t="shared" si="4"/>
        <v>46166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>
        <f t="shared" si="3"/>
        <v>0</v>
      </c>
      <c r="P37" s="175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3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3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IF(T37=0,0,IF((AND((ROW(T37)=MATCH(TRUE,($T$1:$T$44)&gt;0,0)))),IF(W37&gt;=6,W37-6,0),IF(W37&gt;=2,2,W37)))</f>
        <v>0</v>
      </c>
      <c r="Y37" s="242">
        <f t="array" ref="Y37">IF(T36=0,0,(IF((AND((ROW(T36)=MATCH(TRUE,($T$1:$T$44)&gt;0,0)))),IF(W36&gt;=6,6,W36),IF(W36&gt;=2,W36-2,0))))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>Ft</v>
      </c>
      <c r="B38" s="80">
        <f t="shared" si="0"/>
        <v>46167</v>
      </c>
      <c r="C38" s="82">
        <f t="shared" si="4"/>
        <v>46167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>
        <f t="shared" si="3"/>
        <v>0</v>
      </c>
      <c r="P38" s="175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3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3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IF(T38=0,0,IF((AND((ROW(T38)=MATCH(TRUE,($T$1:$T$44)&gt;0,0)))),IF(W38&gt;=6,W38-6,0),IF(W38&gt;=2,2,W38)))</f>
        <v>0</v>
      </c>
      <c r="Y38" s="242">
        <f t="array" ref="Y38">IF(T37=0,0,(IF((AND((ROW(T37)=MATCH(TRUE,($T$1:$T$44)&gt;0,0)))),IF(W37&gt;=6,6,W37),IF(W37&gt;=2,W37-2,0))))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46168</v>
      </c>
      <c r="C39" s="82">
        <f t="shared" si="4"/>
        <v>46168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3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3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IF(T39=0,0,IF((AND((ROW(T39)=MATCH(TRUE,($T$1:$T$44)&gt;0,0)))),IF(W39&gt;=6,W39-6,0),IF(W39&gt;=2,2,W39)))</f>
        <v>0</v>
      </c>
      <c r="Y39" s="242">
        <f t="array" ref="Y39">IF(T38=0,0,(IF((AND((ROW(T38)=MATCH(TRUE,($T$1:$T$44)&gt;0,0)))),IF(W38&gt;=6,6,W38),IF(W38&gt;=2,W38-2,0))))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46169</v>
      </c>
      <c r="C40" s="82">
        <f t="shared" si="4"/>
        <v>46169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3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3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IF(T40=0,0,IF((AND((ROW(T40)=MATCH(TRUE,($T$1:$T$44)&gt;0,0)))),IF(W40&gt;=6,W40-6,0),IF(W40&gt;=2,2,W40)))</f>
        <v>0</v>
      </c>
      <c r="Y40" s="242">
        <f t="array" ref="Y40">IF(T39=0,0,(IF((AND((ROW(T39)=MATCH(TRUE,($T$1:$T$44)&gt;0,0)))),IF(W39&gt;=6,6,W39),IF(W39&gt;=2,W39-2,0))))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46170</v>
      </c>
      <c r="C41" s="82">
        <f t="shared" si="4"/>
        <v>46170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 t="str">
        <f t="shared" si="3"/>
        <v/>
      </c>
      <c r="P41" s="175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3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3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IF(T41=0,0,IF((AND((ROW(T41)=MATCH(TRUE,($T$1:$T$44)&gt;0,0)))),IF(W41&gt;=6,W41-6,0),IF(W41&gt;=2,2,W41)))</f>
        <v>0</v>
      </c>
      <c r="Y41" s="242">
        <f t="array" ref="Y41">IF(T40=0,0,(IF((AND((ROW(T40)=MATCH(TRUE,($T$1:$T$44)&gt;0,0)))),IF(W40&gt;=6,6,W40),IF(W40&gt;=2,W40-2,0))))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46171</v>
      </c>
      <c r="C42" s="82">
        <f>C41+1</f>
        <v>46171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2">
        <f t="shared" si="5"/>
        <v>0</v>
      </c>
      <c r="U42" s="105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3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3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IF(T42=0,0,IF((AND((ROW(T42)=MATCH(TRUE,($T$1:$T$44)&gt;0,0)))),IF(W42&gt;=6,W42-6,0),IF(W42&gt;=2,2,W42)))</f>
        <v>0</v>
      </c>
      <c r="Y42" s="242">
        <f t="array" ref="Y42">IF(T41=0,0,(IF((AND((ROW(T41)=MATCH(TRUE,($T$1:$T$44)&gt;0,0)))),IF(W41&gt;=6,6,W41),IF(W41&gt;=2,W41-2,0))))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46172</v>
      </c>
      <c r="C43" s="83">
        <f>C42+1</f>
        <v>46172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199" t="str">
        <f>IF(D43="","",IF(E42="ND",VLOOKUP(D43,Datenblatt!$A$2:$C$31,3,FALSE)-1,IF(E42="ND12,5",VLOOKUP(D43,Datenblatt!$A$2:$C$31,3,FALSE)-0.5,VLOOKUP(D43,Datenblatt!$A$2:$C$31,3,FALSE))))</f>
        <v/>
      </c>
      <c r="N43" s="200" t="str">
        <f t="shared" si="2"/>
        <v/>
      </c>
      <c r="O43" s="200" t="str">
        <f t="shared" si="3"/>
        <v/>
      </c>
      <c r="P43" s="175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3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3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2">
        <f t="array" ref="X43">IF(T43=0,0,IF((AND((ROW(T43)=MATCH(TRUE,($T$1:$T$44)&gt;0,0)))),IF(W43&gt;=6,W43-6,0),IF(W43&gt;=2,2,W43)))</f>
        <v>0</v>
      </c>
      <c r="Y43" s="242">
        <f t="array" ref="Y43">IF(T42=0,0,(IF((AND((ROW(T42)=MATCH(TRUE,($T$1:$T$44)&gt;0,0)))),IF(W42&gt;=6,6,W42),IF(W42&gt;=2,W42-2,0))))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49">
        <f t="shared" si="0"/>
        <v>46173</v>
      </c>
      <c r="C44" s="150">
        <f>C43+1</f>
        <v>46173</v>
      </c>
      <c r="D44" s="64"/>
      <c r="E44" s="64"/>
      <c r="F44" s="65"/>
      <c r="G44" s="66"/>
      <c r="H44" s="65"/>
      <c r="I44" s="65"/>
      <c r="J44" s="91"/>
      <c r="K44" s="201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8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199" t="str">
        <f>IF(D44="","",IF(E43="ND",VLOOKUP(D44,Datenblatt!$A$2:$C$31,3,FALSE)-1,IF(E43="ND12,5",VLOOKUP(D44,Datenblatt!$A$2:$C$31,3,FALSE)-0.5,VLOOKUP(D44,Datenblatt!$A$2:$C$31,3,FALSE)-M45)))</f>
        <v/>
      </c>
      <c r="N44" s="200" t="str">
        <f t="shared" si="2"/>
        <v/>
      </c>
      <c r="O44" s="200">
        <f t="shared" si="3"/>
        <v>0</v>
      </c>
      <c r="P44" s="175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2">
        <f t="shared" si="5"/>
        <v>0</v>
      </c>
      <c r="U44" s="105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3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3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2">
        <f t="array" ref="X44">IF(T44=0,0,IF((AND((ROW(T44)=MATCH(TRUE,($T$1:$T$44)&gt;0,0)))),IF(W44&gt;=0,W44-0,0),IF(W44&gt;=2,2,W44)))</f>
        <v>0</v>
      </c>
      <c r="Y44" s="242">
        <f t="array" ref="Y44">IF(T43=0,0,(IF((AND((ROW(T43)=MATCH(TRUE,($T$1:$T$44)&gt;0,0)))),IF(W43&gt;=6,6,W43),IF(W43&gt;=2,W43-2,0))))</f>
        <v>0</v>
      </c>
      <c r="Z44" s="102" t="str">
        <f t="shared" si="6"/>
        <v/>
      </c>
      <c r="AA44" s="203">
        <f>IF(E43="ND",IF(ISERROR(MATCH(D44,Datenblatt!$L$2:$L$18,0)),3,2),IF(E43="ND12,5",IF(ISERROR(MATCH(D44,Datenblatt!$L$2:$L$18,0)),2.5,2),0))</f>
        <v>0</v>
      </c>
      <c r="AB44" s="203">
        <f>IF((IF(E44="ND",14-IF(D44="",0,VLOOKUP(D44,Datenblatt!$L$2:$M$30,2,FALSE)),IF(E44="ND12,5",2,0)))&lt;0,0,(IF(E44="ND",14-IF(D44="",0,VLOOKUP(D44,Datenblatt!$L$2:$M$30,2,FALSE)),IF(E44="ND12,5",2,0))))</f>
        <v>0</v>
      </c>
      <c r="AC44" s="203">
        <f t="shared" si="7"/>
        <v>0</v>
      </c>
      <c r="AD44" s="203">
        <f t="shared" si="8"/>
        <v>0</v>
      </c>
      <c r="AE44" s="203">
        <f t="shared" si="9"/>
        <v>0</v>
      </c>
      <c r="AF44" s="103">
        <f t="shared" si="10"/>
        <v>0</v>
      </c>
      <c r="AG44" s="103">
        <f t="shared" si="11"/>
        <v>0</v>
      </c>
      <c r="AH44" s="103">
        <f>IF(E44="",0,VLOOKUP(E44,Datenblatt!$E$2:$G$28,3,FALSE))</f>
        <v>0</v>
      </c>
    </row>
    <row r="45" spans="1:34" ht="13" customHeight="1" thickBot="1">
      <c r="A45" s="216" t="str">
        <f>IF(ISERROR(VLOOKUP(C45,Datenblatt!$B$84:$B$97,1,FALSE)),"","Ft")</f>
        <v/>
      </c>
      <c r="B45" s="143"/>
      <c r="C45" s="140"/>
      <c r="D45" s="140"/>
      <c r="E45" s="140"/>
      <c r="F45" s="140"/>
      <c r="G45" s="140"/>
      <c r="H45" s="140"/>
      <c r="I45" s="140"/>
      <c r="J45" s="144">
        <f>SUM(J14:J44)</f>
        <v>0</v>
      </c>
      <c r="K45" s="202">
        <f>SUM(K14:K44)</f>
        <v>0</v>
      </c>
      <c r="L45" s="162" t="str">
        <f>IF(D44="ND",9,IF(D44="ND12,5",8.5,"0"))</f>
        <v>0</v>
      </c>
      <c r="M45" s="162" t="str">
        <f>IF(D44="ND",9,IF(D44="ND12,5",8.5,"0"))</f>
        <v>0</v>
      </c>
      <c r="N45" s="210">
        <f t="shared" ref="N45:O45" si="12">SUM(N14:N44)</f>
        <v>0</v>
      </c>
      <c r="O45" s="210">
        <f t="shared" si="12"/>
        <v>0</v>
      </c>
      <c r="P45" s="186">
        <f>SUM(P14:P44)</f>
        <v>0</v>
      </c>
      <c r="Q45" s="163"/>
      <c r="R45" s="146"/>
      <c r="S45" s="147"/>
      <c r="T45" s="145"/>
      <c r="U45" s="106"/>
      <c r="V45" s="107"/>
      <c r="W45" s="107"/>
      <c r="X45" s="107"/>
      <c r="Y45" s="107"/>
      <c r="Z45" s="145"/>
      <c r="AA45" s="204"/>
      <c r="AB45" s="204"/>
      <c r="AC45" s="204"/>
      <c r="AD45" s="204"/>
      <c r="AE45" s="204"/>
      <c r="AF45" s="109"/>
      <c r="AG45" s="109"/>
    </row>
    <row r="46" spans="1:34" s="77" customFormat="1" ht="0.75" customHeight="1" thickBot="1">
      <c r="A46" s="419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8"/>
      <c r="U46" s="108"/>
      <c r="V46" s="108"/>
      <c r="W46" s="108"/>
      <c r="X46" s="108"/>
      <c r="Y46" s="108"/>
      <c r="Z46" s="176"/>
      <c r="AA46" s="205"/>
      <c r="AB46" s="205"/>
      <c r="AC46" s="205"/>
      <c r="AD46" s="205"/>
      <c r="AE46" s="205"/>
      <c r="AF46" s="231"/>
      <c r="AG46" s="231"/>
      <c r="AH46" s="275"/>
    </row>
    <row r="47" spans="1:34" s="63" customFormat="1">
      <c r="A47" s="216"/>
      <c r="B47" s="158" t="s">
        <v>146</v>
      </c>
      <c r="C47" s="158"/>
      <c r="D47" s="56"/>
      <c r="E47" s="56"/>
      <c r="F47" s="54"/>
      <c r="G47" s="54"/>
      <c r="H47" s="54"/>
      <c r="I47" s="239"/>
      <c r="J47" s="239"/>
      <c r="K47" s="239"/>
      <c r="L47" s="608" t="s">
        <v>288</v>
      </c>
      <c r="M47" s="608"/>
      <c r="N47" s="608"/>
      <c r="O47" s="609"/>
      <c r="P47" s="190" t="s">
        <v>145</v>
      </c>
      <c r="Q47" s="315">
        <f>IF($P$47="ja",SUMPRODUCT((WEEKDAY($B$14:$B$44,2)=1)*2),0)</f>
        <v>0</v>
      </c>
      <c r="R47" s="148"/>
      <c r="S47" s="16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s="63" customFormat="1">
      <c r="A48" s="216"/>
      <c r="B48" s="180" t="str">
        <f>"Verrechnung von Sonderzahlungen, Überstunden, Nachtgutstunden und Nachtdiensten erfolgt im Folgemonat"&amp;" "&amp;Start!$B$20</f>
        <v>Verrechnung von Sonderzahlungen, Überstunden, Nachtgutstunden und Nachtdiensten erfolgt im Folgemonat Juni</v>
      </c>
      <c r="C48" s="158"/>
      <c r="D48" s="56"/>
      <c r="E48" s="56"/>
      <c r="F48" s="54"/>
      <c r="G48" s="54"/>
      <c r="H48" s="78"/>
      <c r="I48" s="78"/>
      <c r="J48" s="79"/>
      <c r="K48" s="79"/>
      <c r="L48" s="606" t="s">
        <v>289</v>
      </c>
      <c r="M48" s="606"/>
      <c r="N48" s="606"/>
      <c r="O48" s="607"/>
      <c r="P48" s="193" t="s">
        <v>291</v>
      </c>
      <c r="Q48" s="314" t="str">
        <f>IF($P$48="Freizeit","       als Gutstunden abgerechnet","       im Folgemonat ausbezahlt")</f>
        <v xml:space="preserve">       als Gutstunden abgerechnet</v>
      </c>
      <c r="R48" s="192"/>
      <c r="S48" s="181"/>
      <c r="T48" s="109"/>
      <c r="U48" s="109"/>
      <c r="V48" s="109"/>
      <c r="W48" s="109"/>
      <c r="X48" s="109"/>
      <c r="Y48" s="109"/>
      <c r="Z48" s="177"/>
      <c r="AA48" s="206"/>
      <c r="AB48" s="206"/>
      <c r="AC48" s="206"/>
      <c r="AD48" s="206"/>
      <c r="AE48" s="206"/>
      <c r="AF48" s="109"/>
      <c r="AG48" s="109"/>
      <c r="AH48" s="276"/>
    </row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5374.6299999999992</v>
      </c>
      <c r="N50" s="540" t="str">
        <f>"Monatsprofil"&amp;" "&amp;Start!$B$19</f>
        <v>Monatsprofil Mai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COUNTIF($D$14:$E$44,"U")-COUNTIFS($D$14:$D$44,"U",$E$14:$E$44,"K")-COUNTIFS($D$14:$D$44,"U",$E$14:$E$44,"PK")</f>
        <v>0</v>
      </c>
      <c r="C51" s="403" t="s">
        <v>18</v>
      </c>
      <c r="D51" s="404">
        <f>SUMIFS($P$14:$P$44,$D$14:$D$44,"U")+SUMIFS($P$14:$P$44,$E$14:$E$44,"U")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IF(OR(Start!$D$8=Gehalt!$K$37,Start!$D$8=Gehalt!$K$39,Start!$D$8=Gehalt!$K$41),Gehalt!$G$29,0)</f>
        <v>0</v>
      </c>
      <c r="N51" s="543"/>
      <c r="O51" s="544"/>
      <c r="P51" s="545"/>
      <c r="T51" s="253" t="s">
        <v>392</v>
      </c>
      <c r="U51" s="110">
        <f>SUMPRODUCT(($U$14:$U$44)*(ISNUMBER(FIND("Ft",$A$14:$A$44))))+SUMPRODUCT((($U$14:$U$44)*1)*(WEEKDAY($B$14:$B$44,2)=7))-SUMPRODUCT((($U$14:$U$44)*1)*(WEEKDAY($B$14:$B$44,2)=7)*(ISNUMBER(FIND("Ft",$A$14:$A$44))))</f>
        <v>0</v>
      </c>
      <c r="V51" s="110">
        <f>SUMPRODUCT(($V$14:$V$44)*(ISNUMBER(FIND("Ft",$A$14:$A$44))))+SUMPRODUCT((($V$14:$V$44)*1)*(WEEKDAY($B$14:$B$44,2)=7))-SUMPRODUCT((($V$14:$V$44)*1)*(WEEKDAY($B$14:$B$44,2)=7)*(ISNUMBER(FIND("Ft",$A$14:$A$44))))</f>
        <v>0</v>
      </c>
      <c r="W51" s="110">
        <f>SUM($W$14:$W$44)</f>
        <v>0</v>
      </c>
      <c r="X51" s="438"/>
      <c r="Y51" s="439"/>
      <c r="Z51" s="253" t="s">
        <v>392</v>
      </c>
      <c r="AA51" s="203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3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3">
        <f>SUM($AC$14:$AC$44)</f>
        <v>0</v>
      </c>
      <c r="AD51" s="203">
        <f>SUM($AD$14:$AD$44)</f>
        <v>0</v>
      </c>
      <c r="AE51" s="206"/>
      <c r="AF51" s="177"/>
      <c r="AG51" s="253" t="s">
        <v>392</v>
      </c>
      <c r="AH51" s="203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1">
        <f>COUNTIF($D$14:$E$44,"ZA")-COUNTIFS($D$14:$D$44,"ZA",$E$14:$E$44,"K")-COUNTIFS($D$14:$D$44,"ZA",$E$14:$E$44,"PK")</f>
        <v>0</v>
      </c>
      <c r="C52" s="403" t="s">
        <v>21</v>
      </c>
      <c r="D52" s="406">
        <f>SUMIFS($P$14:$P$44,$D$14:$D$44,"ZA")+SUMIFS($P$14:$P$44,$E$14:$E$44,"ZA")-$J$45</f>
        <v>0</v>
      </c>
      <c r="E52" s="407">
        <f>IF($P$48="Freizeit",SUM($N$45*1.5,$O$45*2),0)+$J$54*1.5</f>
        <v>0</v>
      </c>
      <c r="G52" s="295" t="str">
        <f>"9545 Nachtdienstpauschale Gesamt ("&amp;""&amp;Gehalt!$G$25&amp;""&amp;"€/h)"</f>
        <v>9545 Nachtdienstpauschale Gesamt (30,47€/h)</v>
      </c>
      <c r="H52" s="141"/>
      <c r="I52" s="141"/>
      <c r="J52" s="141"/>
      <c r="K52" s="245">
        <f>SUM($AF$14:$AG$44)</f>
        <v>0</v>
      </c>
      <c r="L52" s="215">
        <f>$K$52*Gehalt!$G$25</f>
        <v>0</v>
      </c>
      <c r="N52" s="538" t="s">
        <v>236</v>
      </c>
      <c r="O52" s="539"/>
      <c r="P52" s="318">
        <f>VLOOKUP($B$8,Datenblatt!$A$100:$I$112,2,FALSE)</f>
        <v>31</v>
      </c>
      <c r="T52" s="254" t="s">
        <v>103</v>
      </c>
      <c r="U52" s="249">
        <f>SUM($U$14:$U$44)-$U$51</f>
        <v>0</v>
      </c>
      <c r="V52" s="249">
        <f>SUM($V$14:$V$44)-$V$51</f>
        <v>0</v>
      </c>
      <c r="W52" s="441"/>
      <c r="X52" s="440"/>
      <c r="Y52" s="439"/>
      <c r="Z52" s="255" t="s">
        <v>103</v>
      </c>
      <c r="AA52" s="203">
        <f>SUM($AA$14:$AA$44)-$AA$51</f>
        <v>0</v>
      </c>
      <c r="AB52" s="203">
        <f>SUM($AB$14:$AB$44)-$AB$51</f>
        <v>0</v>
      </c>
      <c r="AC52" s="437"/>
      <c r="AD52" s="204"/>
      <c r="AE52" s="206"/>
      <c r="AF52" s="177"/>
      <c r="AG52" s="255" t="s">
        <v>103</v>
      </c>
      <c r="AH52" s="203">
        <f>SUM($AH$14:$AH$44)-$AH$51</f>
        <v>0</v>
      </c>
    </row>
    <row r="53" spans="2:34" s="84" customFormat="1" ht="13" customHeight="1">
      <c r="B53" s="321">
        <f>COUNTIF($D$14:$E$44,"RG")-COUNTIFS($D$14:$D$44,"U",$E$14:$E$44,"RG")-COUNTIFS($D$14:$D$44,"RG",$E$14:$E$44,"PK")</f>
        <v>0</v>
      </c>
      <c r="C53" s="325" t="s">
        <v>131</v>
      </c>
      <c r="D53" s="404">
        <f>SUMIFS($P$14:$P$44,$D$14:$D$44,"RG")+SUMIFS($P$14:$P$44,$E$14:$E$44,"RG")</f>
        <v>0</v>
      </c>
      <c r="E53" s="408">
        <f>$Q$47</f>
        <v>0</v>
      </c>
      <c r="G53" s="295" t="str">
        <f>"9547 Sonn- und Feiertagszulage ("&amp;""&amp;Gehalt!$G$26&amp;""&amp;"€/h)"</f>
        <v>9547 Sonn- und Feiertagszulage (19,15€/h)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$K$53*Gehalt!$G$26</f>
        <v>0</v>
      </c>
      <c r="N53" s="538" t="s">
        <v>237</v>
      </c>
      <c r="O53" s="539"/>
      <c r="P53" s="318">
        <f>VLOOKUP($B$8,Datenblatt!$A$100:$I$112,3,FALSE)</f>
        <v>3</v>
      </c>
      <c r="T53" s="252" t="s">
        <v>393</v>
      </c>
      <c r="U53" s="103">
        <f>SUMPRODUCT(($U$14:$U$44)*(ISNUMBER(FIND("Ft",$A$14:$A$44))))+SUMPRODUCT((($U$14:$U$44)*1)*(WEEKDAY($B$14:$B$44,2)=7))-SUMPRODUCT((($U$14:$U$44)*1)*(WEEKDAY($B$14:$B$44,2)=7)*(ISNUMBER(FIND("Ft",$A$14:$A$44))))</f>
        <v>0</v>
      </c>
      <c r="V53" s="103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2"/>
      <c r="X53" s="103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3">
        <f>SUMPRODUCT(($Y$14:$Y$44)*(ISNUMBER(FIND("Ft",$A$14:$A$44))))+SUMPRODUCT((($Y$14:$Y$44)*1)*(WEEKDAY($B$14:$B$44,2)=7))-SUMPRODUCT((($Y$14:$Y$44)*1)*(WEEKDAY($B$14:$B$44,2)=7)*(ISNUMBER(FIND("Ft",$A$14:$A$44))))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COUNTIF($D$14:$E$44,"NDG")-COUNTIFS($D$14:$D$44,"NDG",$E$14:$E$44,"K")-COUNTIFS($D$14:$D$44,"NDG",$E$14:$E$44,"PK")</f>
        <v>0</v>
      </c>
      <c r="C54" s="325" t="s">
        <v>130</v>
      </c>
      <c r="D54" s="404">
        <f>SUMIFS($P$14:$P$44,$D$14:$D$44,"NDG")+SUMIFS($P$14:$P$44,$E$14:$E$44,"NDG")</f>
        <v>0</v>
      </c>
      <c r="E54" s="408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35" t="s">
        <v>294</v>
      </c>
      <c r="H54" s="536"/>
      <c r="I54" s="537"/>
      <c r="J54" s="356">
        <v>0</v>
      </c>
      <c r="K54" s="214">
        <f>IF($P$48="finanziell",SUM($L$62),0)+$L$66+$L$70-$J$54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10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SUMIFS($M$14:$M$44,$D$14:$D$44,"U")</f>
        <v>0</v>
      </c>
      <c r="E55" s="405"/>
      <c r="G55" s="295" t="s">
        <v>226</v>
      </c>
      <c r="H55" s="141"/>
      <c r="I55" s="141"/>
      <c r="J55" s="141"/>
      <c r="K55" s="214">
        <f>IF($P$48="finanziell",SUM($L$63),0)+$L$71+$L$67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18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COUNTIF($D$14:$E$44,"SU")-COUNTIFS($D$14:$D$44,"SU",$E$14:$E$44,"K")-COUNTIFS($D$14:$D$44,"SU",$E$14:$E$44,"PK")</f>
        <v>0</v>
      </c>
      <c r="C56" s="325" t="s">
        <v>171</v>
      </c>
      <c r="D56" s="404">
        <f>SUMIFS($M$14:$M$44,$D$14:$D$44,"SU")</f>
        <v>0</v>
      </c>
      <c r="E56" s="405"/>
      <c r="G56" s="295" t="s">
        <v>284</v>
      </c>
      <c r="H56" s="141"/>
      <c r="I56" s="141"/>
      <c r="J56" s="141"/>
      <c r="K56" s="360">
        <f ca="1">IF(April!$P$63-SUM(Start!$E$37,Start!$E$15:$E$19)*2&lt;=0,0,April!$P$63-SUM(Start!$E$37,Start!$E$15:$E$19)*2)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21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COUNTIF($D$14:$E$44,"PK")</f>
        <v>0</v>
      </c>
      <c r="C57" s="325" t="s">
        <v>170</v>
      </c>
      <c r="D57" s="404">
        <f>SUMIFS($M$14:$M$44,$D$14:$D$44,"PK")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IF(OR(Start!$D$8=Gehalt!$K$37,Start!$D$8=Gehalt!$K$39,Start!$D$8=Gehalt!$K$41),SUMIFS($M$14:$M$44,$Q$14:$Q$44,"=Tagdienst*",$E$14:$E$44,"&lt;&gt;*")+SUMIFS($AH$14:$AH$44,$R$14:$R$44,"=Tagdienst*"),0)</f>
        <v>0</v>
      </c>
      <c r="L57" s="215">
        <f>$K$57*Gehalt!$G$28</f>
        <v>0</v>
      </c>
      <c r="N57" s="538" t="s">
        <v>235</v>
      </c>
      <c r="O57" s="539"/>
      <c r="P57" s="318">
        <f>VLOOKUP($B$8,Datenblatt!$A$100:$I$112,6,FALSE)</f>
        <v>144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COUNTIF($D$14:$E$44,"K")+COUNTIF($D$14:$E$44,"KA")</f>
        <v>0</v>
      </c>
      <c r="C58" s="325" t="s">
        <v>412</v>
      </c>
      <c r="D58" s="404">
        <f>SUMIFS($M$14:$M$44,$D$14:$D$44,"K")+SUMIFS($M$14:$M$44,$D$14:$D$44,"KA")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IF($J$58="ja",Gehalt!$G$27,0)</f>
        <v>0</v>
      </c>
      <c r="N58" s="546" t="str">
        <f>"Stundenkonto Monatsende"&amp;" "&amp;Start!$B$19</f>
        <v>Stundenkonto Monatsende Mai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COUNTIF($L$14:$L$44,"n.b.")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COUNTIF($D$14:$E$44,"DV")</f>
        <v>0</v>
      </c>
      <c r="C60" s="325" t="s">
        <v>110</v>
      </c>
      <c r="D60" s="404">
        <f>SUMIFS($P$14:$P$44,$D$14:$D$44,"DV")+SUMIFS($P$14:$P$44,$E$14:$E$44,"DV")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46.29</v>
      </c>
      <c r="N60" s="538" t="s">
        <v>233</v>
      </c>
      <c r="O60" s="539"/>
      <c r="P60" s="318">
        <f>Start!$C$32+SUM(Jänner:Mai!$D$51)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COUNTIF($D$14:$E$44,"WR")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61.72</v>
      </c>
      <c r="N61" s="538" t="s">
        <v>234</v>
      </c>
      <c r="O61" s="539"/>
      <c r="P61" s="319">
        <f>Start!$C$33+SUM(Jänner:Mai!$D$52)+SUM(Jänner:Mai!$E$52)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115"/>
      <c r="L62" s="342">
        <f>SUM($N$14:$N$44)</f>
        <v>0</v>
      </c>
      <c r="M62" s="84"/>
      <c r="N62" s="538" t="s">
        <v>147</v>
      </c>
      <c r="O62" s="539"/>
      <c r="P62" s="318">
        <f>Start!$C$34+SUM(Jänner:Mai!$D$53)+SUM(Jänner:Mai!$E$53)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SUM($O$14:$O$44)</f>
        <v>0</v>
      </c>
      <c r="M63" s="84"/>
      <c r="N63" s="610" t="s">
        <v>165</v>
      </c>
      <c r="O63" s="611"/>
      <c r="P63" s="320">
        <f ca="1">Start!$C$35+SUM(Jänner:Mai!$D$54)+SUM(Jänner:Mai!$E$54)-SUM(Jänner:Mai!$K$56)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SUM(Jänner:Mai!$D$51)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SUM(Jänner:Mai!$D$52)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SUM(Jänner:Mai!$D$53)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SUM(Jänner:Mai!$D$54)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SUM(Jänner:Mai!$B$56)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SUM(Jänner:Mai!$B$57)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SUM(Jänner:Mai!$B$58)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144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SUMPRODUCT(($D$14:$D$44="ND")*($A$14:$A$44="Ft"))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SUMPRODUCT(($A$13:$A$43="Ft")*($D$13:$D$43="ND")*($A$14:$A$44="Ft"))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SUMPRODUCT((WEEKDAY($B$13:$B$43,2)=6)*($D$13:$D$43="ND12,5"))-SUMPRODUCT((WEEKDAY($B$13:$B$43,2)=6)*($D$13:$D$43="ND12,5")*($A$13:$A$43="Ft"))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SUMPRODUCT((WEEKDAY($B$14:$B$44,2)=7)*($D$14:$D$44="ND12,5"))-SUMPRODUCT((WEEKDAY($B$14:$B$44,2)=7)*($D$14:$D$44="ND12,5")*($A$14:$A$44="Ft"))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SUMPRODUCT(($D$14:$D$44="ND12,5")*($A$14:$A$44="Ft"))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SUMPRODUCT(($A$13:$A$43="Ft")*($D$13:$D$43="ND12,5")*($A$14:$A$44="Ft"))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kFGN7FOqa7z0P13JjHPZ7lKbmFjOpeZuwAKRQeyZIHM52frUSnlrZe/orOPKMUSYZ1AfDlCN7qLnt4nnJL6uzg==" saltValue="vmIo9DjKKMDB2yOZQbbY0g==" spinCount="100000" sheet="1" selectLockedCells="1"/>
  <mergeCells count="63">
    <mergeCell ref="L48:O48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58:P59"/>
    <mergeCell ref="N61:O61"/>
    <mergeCell ref="C50:D50"/>
    <mergeCell ref="G54:I54"/>
    <mergeCell ref="N50:P51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4">
    <cfRule type="cellIs" dxfId="407" priority="8" operator="equal">
      <formula>"HFT"</formula>
    </cfRule>
    <cfRule type="cellIs" dxfId="406" priority="9" operator="equal">
      <formula>"FT"</formula>
    </cfRule>
  </conditionalFormatting>
  <conditionalFormatting sqref="A45">
    <cfRule type="cellIs" dxfId="405" priority="287" operator="equal">
      <formula>"Ft"</formula>
    </cfRule>
  </conditionalFormatting>
  <conditionalFormatting sqref="B13:C44">
    <cfRule type="expression" dxfId="404" priority="288">
      <formula>WEEKDAY($C13,2)&gt;5</formula>
    </cfRule>
  </conditionalFormatting>
  <conditionalFormatting sqref="E8">
    <cfRule type="cellIs" dxfId="402" priority="43" operator="greaterThan">
      <formula>48</formula>
    </cfRule>
  </conditionalFormatting>
  <conditionalFormatting sqref="I47:K47">
    <cfRule type="cellIs" dxfId="401" priority="116" operator="equal">
      <formula>"Wochenarbeitszeit überschritten"</formula>
    </cfRule>
  </conditionalFormatting>
  <conditionalFormatting sqref="J45:P45">
    <cfRule type="cellIs" dxfId="400" priority="159" operator="equal">
      <formula>0</formula>
    </cfRule>
  </conditionalFormatting>
  <conditionalFormatting sqref="K8">
    <cfRule type="cellIs" dxfId="399" priority="206" operator="equal">
      <formula>$N$8</formula>
    </cfRule>
    <cfRule type="cellIs" dxfId="398" priority="207" operator="greaterThan">
      <formula>$N$8</formula>
    </cfRule>
    <cfRule type="cellIs" dxfId="397" priority="208" operator="lessThan">
      <formula>$N$8</formula>
    </cfRule>
  </conditionalFormatting>
  <conditionalFormatting sqref="K14:K44">
    <cfRule type="cellIs" dxfId="396" priority="31" operator="lessThanOrEqual">
      <formula>0</formula>
    </cfRule>
    <cfRule type="cellIs" dxfId="395" priority="32" operator="greaterThan">
      <formula>0</formula>
    </cfRule>
  </conditionalFormatting>
  <conditionalFormatting sqref="K45">
    <cfRule type="cellIs" dxfId="394" priority="235" operator="lessThan">
      <formula>0</formula>
    </cfRule>
  </conditionalFormatting>
  <conditionalFormatting sqref="N14:O44">
    <cfRule type="cellIs" dxfId="393" priority="11" operator="equal">
      <formula>0</formula>
    </cfRule>
  </conditionalFormatting>
  <conditionalFormatting sqref="P13:P44">
    <cfRule type="cellIs" dxfId="392" priority="2" operator="equal">
      <formula>0</formula>
    </cfRule>
  </conditionalFormatting>
  <conditionalFormatting sqref="P60:P63">
    <cfRule type="cellIs" dxfId="391" priority="58" operator="lessThan">
      <formula>0</formula>
    </cfRule>
  </conditionalFormatting>
  <conditionalFormatting sqref="Q47">
    <cfRule type="cellIs" dxfId="390" priority="47" operator="equal">
      <formula>0</formula>
    </cfRule>
  </conditionalFormatting>
  <conditionalFormatting sqref="T14:T44">
    <cfRule type="cellIs" dxfId="389" priority="267" operator="equal">
      <formula>0</formula>
    </cfRule>
  </conditionalFormatting>
  <conditionalFormatting sqref="T45:W45">
    <cfRule type="cellIs" dxfId="388" priority="153" operator="equal">
      <formula>0</formula>
    </cfRule>
  </conditionalFormatting>
  <conditionalFormatting sqref="T51:W51">
    <cfRule type="cellIs" dxfId="387" priority="25" operator="equal">
      <formula>0</formula>
    </cfRule>
  </conditionalFormatting>
  <conditionalFormatting sqref="U15:W44">
    <cfRule type="cellIs" dxfId="386" priority="240" operator="equal">
      <formula>0</formula>
    </cfRule>
  </conditionalFormatting>
  <conditionalFormatting sqref="U51:Y53">
    <cfRule type="cellIs" dxfId="385" priority="15" operator="equal">
      <formula>0</formula>
    </cfRule>
  </conditionalFormatting>
  <conditionalFormatting sqref="V14">
    <cfRule type="cellIs" dxfId="384" priority="268" operator="equal">
      <formula>0</formula>
    </cfRule>
  </conditionalFormatting>
  <conditionalFormatting sqref="V13:W13">
    <cfRule type="cellIs" dxfId="383" priority="169" operator="equal">
      <formula>0</formula>
    </cfRule>
  </conditionalFormatting>
  <conditionalFormatting sqref="W52">
    <cfRule type="cellIs" dxfId="382" priority="19" operator="equal">
      <formula>0</formula>
    </cfRule>
  </conditionalFormatting>
  <conditionalFormatting sqref="X13:Y45">
    <cfRule type="cellIs" dxfId="381" priority="59" operator="equal">
      <formula>0</formula>
    </cfRule>
  </conditionalFormatting>
  <conditionalFormatting sqref="Z13:Z44">
    <cfRule type="cellIs" dxfId="380" priority="170" operator="equal">
      <formula>0</formula>
    </cfRule>
  </conditionalFormatting>
  <conditionalFormatting sqref="Z51:AC51">
    <cfRule type="cellIs" dxfId="379" priority="23" operator="equal">
      <formula>0</formula>
    </cfRule>
  </conditionalFormatting>
  <conditionalFormatting sqref="Z45:AD45">
    <cfRule type="cellIs" dxfId="378" priority="151" operator="equal">
      <formula>0</formula>
    </cfRule>
  </conditionalFormatting>
  <conditionalFormatting sqref="AA14:AB44">
    <cfRule type="cellIs" dxfId="377" priority="33" operator="equal">
      <formula>0</formula>
    </cfRule>
  </conditionalFormatting>
  <conditionalFormatting sqref="AA51:AE52">
    <cfRule type="cellIs" dxfId="376" priority="5" operator="equal">
      <formula>0</formula>
    </cfRule>
  </conditionalFormatting>
  <conditionalFormatting sqref="AC13:AD44">
    <cfRule type="cellIs" dxfId="375" priority="124" operator="equal">
      <formula>0</formula>
    </cfRule>
  </conditionalFormatting>
  <conditionalFormatting sqref="AE13:AE45">
    <cfRule type="cellIs" dxfId="374" priority="1" operator="equal">
      <formula>0</formula>
    </cfRule>
  </conditionalFormatting>
  <conditionalFormatting sqref="AF13:AG44">
    <cfRule type="cellIs" dxfId="373" priority="73" operator="equal">
      <formula>0</formula>
    </cfRule>
  </conditionalFormatting>
  <conditionalFormatting sqref="AG51:AH51">
    <cfRule type="cellIs" dxfId="372" priority="14" operator="equal">
      <formula>0</formula>
    </cfRule>
  </conditionalFormatting>
  <conditionalFormatting sqref="AH14:AH44">
    <cfRule type="cellIs" dxfId="371" priority="28" operator="equal">
      <formula>0</formula>
    </cfRule>
  </conditionalFormatting>
  <conditionalFormatting sqref="AH51:AH52">
    <cfRule type="cellIs" dxfId="370" priority="12" operator="equal">
      <formula>0</formula>
    </cfRule>
  </conditionalFormatting>
  <dataValidations count="4">
    <dataValidation type="list" allowBlank="1" showInputMessage="1" showErrorMessage="1" sqref="J14:J44" xr:uid="{C0A66E31-0DE1-42B5-817A-B71522D14C2E}">
      <formula1>AbwesenheitenStunden</formula1>
    </dataValidation>
    <dataValidation type="list" allowBlank="1" showInputMessage="1" showErrorMessage="1" error="Die Eingabe ist unzulässig_x000a_Bitte Drop Down Felder verwenden" sqref="F14:G44" xr:uid="{D2FB4094-D23E-4DF2-B3C7-3F0C1F505661}">
      <formula1>Zeiten1</formula1>
    </dataValidation>
    <dataValidation type="decimal" allowBlank="1" showInputMessage="1" showErrorMessage="1" error="Die ausgewählte Stundenanzahl steht nicht zur Verfügung!" sqref="J54" xr:uid="{DD6DBD87-BA9A-419A-9C01-AEC2D898DA6C}">
      <formula1>0</formula1>
      <formula2>K54</formula2>
    </dataValidation>
    <dataValidation type="list" allowBlank="1" showInputMessage="1" showErrorMessage="1" sqref="H14:I44" xr:uid="{A3B8AB1F-11FB-4E6B-90B5-45FB26C066DA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0" id="{AE3FD682-242E-48BE-AF23-9A155B9F0B4B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7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CFA5173A-F799-4BB4-B817-CFC536CDFF59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DA3FF8AB-42FD-4F1D-BAFB-E9719A1A4C04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A8A93AA0-9E11-41E0-A678-6F10818A8153}">
          <x14:formula1>
            <xm:f>Datenblatt!$D$58:$D$59</xm:f>
          </x14:formula1>
          <xm:sqref>P47 J58</xm:sqref>
        </x14:dataValidation>
        <x14:dataValidation type="list" allowBlank="1" showInputMessage="1" showErrorMessage="1" xr:uid="{D55B2E0B-3596-4B88-B470-1B5F9D69037E}">
          <x14:formula1>
            <xm:f>Datenblatt!$D$52:$D$53</xm:f>
          </x14:formula1>
          <xm:sqref>P48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0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2" customWidth="1"/>
    <col min="34" max="34" width="7.1640625" style="276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0"/>
    </row>
    <row r="2" spans="1:34" ht="8" customHeight="1" thickBot="1">
      <c r="A2" s="130"/>
    </row>
    <row r="3" spans="1:34" s="55" customFormat="1" ht="17" customHeight="1">
      <c r="A3" s="421"/>
      <c r="B3" s="564" t="s">
        <v>114</v>
      </c>
      <c r="C3" s="565"/>
      <c r="D3" s="565"/>
      <c r="E3" s="565"/>
      <c r="F3" s="565"/>
      <c r="G3" s="565"/>
      <c r="H3" s="565"/>
      <c r="I3" s="565"/>
      <c r="J3" s="566"/>
      <c r="K3" s="432"/>
      <c r="L3" s="436"/>
      <c r="M3" s="436"/>
      <c r="N3" s="86"/>
      <c r="O3" s="435"/>
      <c r="Q3" s="85"/>
      <c r="R3" s="85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76"/>
    </row>
    <row r="4" spans="1:34" ht="6" customHeight="1" thickBot="1">
      <c r="B4" s="567"/>
      <c r="C4" s="568"/>
      <c r="D4" s="568"/>
      <c r="E4" s="568"/>
      <c r="F4" s="568"/>
      <c r="G4" s="568"/>
      <c r="H4" s="568"/>
      <c r="I4" s="568"/>
      <c r="J4" s="569"/>
      <c r="K4" s="432"/>
      <c r="L4" s="436"/>
      <c r="M4" s="436"/>
      <c r="N4" s="435"/>
      <c r="O4" s="435"/>
      <c r="P4" s="436"/>
      <c r="Q4" s="56"/>
      <c r="R4" s="56"/>
    </row>
    <row r="5" spans="1:34" ht="15" customHeight="1">
      <c r="B5" s="570" t="s">
        <v>282</v>
      </c>
      <c r="C5" s="571"/>
      <c r="D5" s="571"/>
      <c r="E5" s="571"/>
      <c r="F5" s="571" t="s">
        <v>27</v>
      </c>
      <c r="G5" s="571"/>
      <c r="H5" s="571"/>
      <c r="I5" s="571"/>
      <c r="J5" s="577"/>
      <c r="K5" s="572" t="s">
        <v>141</v>
      </c>
      <c r="L5" s="573"/>
      <c r="M5" s="573"/>
      <c r="N5" s="573" t="s">
        <v>360</v>
      </c>
      <c r="O5" s="573"/>
      <c r="P5" s="576"/>
      <c r="Q5" s="490" t="s">
        <v>142</v>
      </c>
      <c r="R5" s="86"/>
    </row>
    <row r="6" spans="1:34" ht="17" customHeight="1" thickBot="1">
      <c r="B6" s="579" t="str">
        <f>IF(Start!$D$4="","Dr. Max Mustermann",Start!$D$4)</f>
        <v>Dr. Max Mustermann</v>
      </c>
      <c r="C6" s="580"/>
      <c r="D6" s="580"/>
      <c r="E6" s="580"/>
      <c r="F6" s="580" t="str">
        <f>Start!$D$8</f>
        <v>Ärztin/Arzt in Ausbildung_BSO1994</v>
      </c>
      <c r="G6" s="580"/>
      <c r="H6" s="580"/>
      <c r="I6" s="580"/>
      <c r="J6" s="581"/>
      <c r="K6" s="578">
        <f>IF(SUM(N14:O43,L13:L43,AA51:AD51,AA52:AB52)=0,Datenblatt!J105,SUM(N14:O43,L13:L43,AA51:AD51,AA52:AB52,AH51:AH52))</f>
        <v>211.20000000000002</v>
      </c>
      <c r="L6" s="555"/>
      <c r="M6" s="555"/>
      <c r="N6" s="574">
        <f>COUNTIF(D14:E43,"ND")+COUNTIF(D14:E43,"ND12,5")</f>
        <v>0</v>
      </c>
      <c r="O6" s="574"/>
      <c r="P6" s="575"/>
      <c r="Q6" s="491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0" t="s">
        <v>26</v>
      </c>
      <c r="C7" s="571"/>
      <c r="D7" s="492" t="s">
        <v>25</v>
      </c>
      <c r="E7" s="571" t="s">
        <v>43</v>
      </c>
      <c r="F7" s="571"/>
      <c r="G7" s="571"/>
      <c r="H7" s="571" t="s">
        <v>90</v>
      </c>
      <c r="I7" s="571"/>
      <c r="J7" s="577"/>
      <c r="K7" s="572" t="s">
        <v>79</v>
      </c>
      <c r="L7" s="573"/>
      <c r="M7" s="573"/>
      <c r="N7" s="573" t="s">
        <v>80</v>
      </c>
      <c r="O7" s="573"/>
      <c r="P7" s="576"/>
      <c r="Q7" s="490" t="s">
        <v>143</v>
      </c>
      <c r="R7" s="180"/>
      <c r="S7" s="93"/>
      <c r="U7" s="230"/>
      <c r="AA7" s="230"/>
    </row>
    <row r="8" spans="1:34" s="56" customFormat="1" ht="17" customHeight="1" thickBot="1">
      <c r="A8" s="420"/>
      <c r="B8" s="551">
        <f>DATE($D$8,6,1)</f>
        <v>46174</v>
      </c>
      <c r="C8" s="552"/>
      <c r="D8" s="489">
        <f>Start!$D$2</f>
        <v>2026</v>
      </c>
      <c r="E8" s="561">
        <f>($K$6)/((VLOOKUP($B$8,Datenblatt!$A$100:$G$123,7,FALSE)*0.2)-(0.2*$D$59))</f>
        <v>48</v>
      </c>
      <c r="F8" s="561"/>
      <c r="G8" s="561"/>
      <c r="H8" s="562">
        <f>IF(OR(Start!$D$10="",Start!$E$10=""),"",IF(($C$14&lt;Start!$D$10),Start!$E$10,VLOOKUP(Start!$E$10,Gehalt!$A$4:$B$22,2,FALSE)))</f>
        <v>3</v>
      </c>
      <c r="I8" s="562"/>
      <c r="J8" s="563"/>
      <c r="K8" s="553">
        <f>SUM(M13:M43)</f>
        <v>0</v>
      </c>
      <c r="L8" s="554"/>
      <c r="M8" s="554"/>
      <c r="N8" s="555">
        <f>VLOOKUP($B$8,Datenblatt!A100:F123,6,FALSE)</f>
        <v>168</v>
      </c>
      <c r="O8" s="555"/>
      <c r="P8" s="556"/>
      <c r="Q8" s="491">
        <f ca="1">IF($L$50="","",SUM($L$50:$L$59))</f>
        <v>5374.6299999999992</v>
      </c>
      <c r="R8" s="92"/>
      <c r="S8" s="93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77"/>
    </row>
    <row r="9" spans="1:34" s="57" customFormat="1" ht="4.25" customHeight="1">
      <c r="A9" s="422"/>
      <c r="B9" s="586" t="s">
        <v>115</v>
      </c>
      <c r="C9" s="587"/>
      <c r="D9" s="592" t="s">
        <v>123</v>
      </c>
      <c r="E9" s="592" t="s">
        <v>173</v>
      </c>
      <c r="F9" s="595" t="s">
        <v>78</v>
      </c>
      <c r="G9" s="596"/>
      <c r="H9" s="595" t="s">
        <v>108</v>
      </c>
      <c r="I9" s="596"/>
      <c r="J9" s="592" t="s">
        <v>116</v>
      </c>
      <c r="K9" s="557" t="s">
        <v>81</v>
      </c>
      <c r="L9" s="557" t="s">
        <v>129</v>
      </c>
      <c r="M9" s="557" t="s">
        <v>113</v>
      </c>
      <c r="N9" s="557" t="s">
        <v>78</v>
      </c>
      <c r="O9" s="557" t="s">
        <v>108</v>
      </c>
      <c r="P9" s="583" t="s">
        <v>133</v>
      </c>
      <c r="Q9" s="603" t="s">
        <v>124</v>
      </c>
      <c r="R9" s="605" t="s">
        <v>172</v>
      </c>
      <c r="S9" s="600" t="s">
        <v>164</v>
      </c>
      <c r="T9" s="221"/>
      <c r="U9" s="222"/>
      <c r="V9" s="222"/>
      <c r="W9" s="222"/>
      <c r="X9" s="222"/>
      <c r="Y9" s="222"/>
      <c r="Z9" s="221"/>
      <c r="AA9" s="222"/>
      <c r="AB9" s="222"/>
      <c r="AC9" s="222"/>
      <c r="AD9" s="222"/>
      <c r="AE9" s="222"/>
      <c r="AF9" s="222"/>
      <c r="AG9" s="222"/>
      <c r="AH9" s="276"/>
    </row>
    <row r="10" spans="1:34" ht="14.5" customHeight="1">
      <c r="B10" s="588"/>
      <c r="C10" s="589"/>
      <c r="D10" s="593"/>
      <c r="E10" s="593"/>
      <c r="F10" s="597"/>
      <c r="G10" s="598"/>
      <c r="H10" s="597"/>
      <c r="I10" s="598"/>
      <c r="J10" s="593"/>
      <c r="K10" s="558"/>
      <c r="L10" s="558"/>
      <c r="M10" s="558"/>
      <c r="N10" s="558"/>
      <c r="O10" s="558"/>
      <c r="P10" s="584"/>
      <c r="Q10" s="603"/>
      <c r="R10" s="603"/>
      <c r="S10" s="601"/>
      <c r="T10" s="221"/>
      <c r="U10" s="599" t="s">
        <v>107</v>
      </c>
      <c r="V10" s="599"/>
      <c r="W10" s="599"/>
      <c r="X10" s="599"/>
      <c r="Y10" s="599"/>
      <c r="Z10" s="237"/>
      <c r="AA10" s="599" t="s">
        <v>167</v>
      </c>
      <c r="AB10" s="599"/>
      <c r="AC10" s="599"/>
      <c r="AD10" s="599"/>
      <c r="AE10" s="599"/>
      <c r="AF10" s="582" t="s">
        <v>231</v>
      </c>
      <c r="AG10" s="582" t="s">
        <v>232</v>
      </c>
    </row>
    <row r="11" spans="1:34" ht="13" customHeight="1" thickBot="1">
      <c r="B11" s="590"/>
      <c r="C11" s="591"/>
      <c r="D11" s="594"/>
      <c r="E11" s="594"/>
      <c r="F11" s="89" t="s">
        <v>14</v>
      </c>
      <c r="G11" s="90" t="s">
        <v>15</v>
      </c>
      <c r="H11" s="89" t="s">
        <v>14</v>
      </c>
      <c r="I11" s="90" t="s">
        <v>15</v>
      </c>
      <c r="J11" s="594"/>
      <c r="K11" s="559"/>
      <c r="L11" s="559"/>
      <c r="M11" s="559"/>
      <c r="N11" s="559"/>
      <c r="O11" s="559"/>
      <c r="P11" s="585"/>
      <c r="Q11" s="604"/>
      <c r="R11" s="604"/>
      <c r="S11" s="602"/>
      <c r="T11" s="100"/>
      <c r="U11" s="233" t="s">
        <v>104</v>
      </c>
      <c r="V11" s="234" t="s">
        <v>105</v>
      </c>
      <c r="W11" s="235" t="s">
        <v>106</v>
      </c>
      <c r="X11" s="234" t="s">
        <v>175</v>
      </c>
      <c r="Y11" s="234" t="s">
        <v>174</v>
      </c>
      <c r="Z11" s="236"/>
      <c r="AA11" s="233" t="s">
        <v>104</v>
      </c>
      <c r="AB11" s="234" t="s">
        <v>105</v>
      </c>
      <c r="AC11" s="234" t="s">
        <v>175</v>
      </c>
      <c r="AD11" s="234" t="s">
        <v>174</v>
      </c>
      <c r="AE11" s="233" t="s">
        <v>228</v>
      </c>
      <c r="AF11" s="582"/>
      <c r="AG11" s="582"/>
      <c r="AH11" s="234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3"/>
      <c r="U12" s="224"/>
      <c r="V12" s="224"/>
      <c r="Z12" s="224"/>
      <c r="AA12" s="224"/>
      <c r="AB12" s="224"/>
      <c r="AH12" s="278"/>
    </row>
    <row r="13" spans="1:34" ht="13" customHeight="1">
      <c r="A13" s="84" t="str">
        <f>IF(ISERROR(VLOOKUP(C13,Datenblatt!$B$84:$B$97,1,FALSE)),"","Ft")</f>
        <v/>
      </c>
      <c r="B13" s="363">
        <f t="shared" ref="B13:B43" si="0">C13</f>
        <v>46173</v>
      </c>
      <c r="C13" s="139">
        <f>C14-1</f>
        <v>46173</v>
      </c>
      <c r="D13" s="143" t="str">
        <f>IF(Mai!D$44="","",Mai!D$44)</f>
        <v/>
      </c>
      <c r="E13" s="140" t="str">
        <f>IF(Mai!E$44="","",Mai!E$44)</f>
        <v/>
      </c>
      <c r="F13" s="140"/>
      <c r="G13" s="140"/>
      <c r="H13" s="140"/>
      <c r="I13" s="140"/>
      <c r="J13" s="240"/>
      <c r="K13" s="240"/>
      <c r="L13" s="160" t="str">
        <f>IF(D13="ND",9,IF(D13="ND12,5",8.5,""))</f>
        <v/>
      </c>
      <c r="M13" s="160" t="str">
        <f>IF(D13="ND",9,IF(D13="ND12,5",8.5,""))</f>
        <v/>
      </c>
      <c r="N13" s="560" t="str">
        <f>IF(OR(D13="ND",D13="ND12,5"),"Übertrag Vormonat","")</f>
        <v/>
      </c>
      <c r="O13" s="560"/>
      <c r="P13" s="182"/>
      <c r="Q13" s="164"/>
      <c r="R13" s="141"/>
      <c r="S13" s="142"/>
      <c r="T13" s="194"/>
      <c r="U13" s="195"/>
      <c r="V13" s="196"/>
      <c r="W13" s="196"/>
      <c r="X13" s="241"/>
      <c r="Y13" s="241"/>
      <c r="Z13" s="102" t="str">
        <f t="shared" ref="Z13" si="1">IF(E13="ND",25,IF(E13="ND12,5",12.5,""))</f>
        <v/>
      </c>
      <c r="AA13" s="195"/>
      <c r="AB13" s="197"/>
      <c r="AC13" s="197"/>
      <c r="AD13" s="197"/>
      <c r="AE13" s="197"/>
      <c r="AF13" s="103"/>
      <c r="AG13" s="103"/>
      <c r="AH13" s="279"/>
    </row>
    <row r="14" spans="1:34" ht="13" customHeight="1">
      <c r="A14" s="84" t="str">
        <f>IF(ISERROR(VLOOKUP(C14,Datenblatt!$B$84:$B$97,1,FALSE)),"","Ft")</f>
        <v/>
      </c>
      <c r="B14" s="80">
        <f t="shared" si="0"/>
        <v>46174</v>
      </c>
      <c r="C14" s="81">
        <f>DATE($D$8,MONTH(B$8),1)</f>
        <v>46174</v>
      </c>
      <c r="D14" s="64"/>
      <c r="E14" s="64"/>
      <c r="F14" s="65"/>
      <c r="G14" s="66"/>
      <c r="H14" s="65"/>
      <c r="I14" s="65"/>
      <c r="J14" s="91"/>
      <c r="K14" s="201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8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199" t="str">
        <f>IF(D14="","",IF(E13="ND",VLOOKUP(D14,Datenblatt!$A$2:$C$31,3,FALSE)-1,IF(E13="ND12,5",VLOOKUP(D14,Datenblatt!$A$2:$C$31,3,FALSE)-0.5,VLOOKUP(D14,Datenblatt!$A$2:$C$31,3,FALSE))))</f>
        <v/>
      </c>
      <c r="N14" s="200" t="str">
        <f t="shared" ref="N14:N43" si="2">IF(AND(F14="",G14=""),"",IF(OR(F14&gt;G14,AND(F14="",G14&gt;0),F14=G14),"ungültig",IF(OR(WEEKDAY(B14,2)=7,A14="Ft"),0,(G14-F14)*24)))</f>
        <v/>
      </c>
      <c r="O14" s="200" t="str">
        <f t="shared" ref="O14:O43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5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2">
        <f>IF(K14="",0,K14)</f>
        <v>0</v>
      </c>
      <c r="U14" s="101"/>
      <c r="V14" s="103"/>
      <c r="W14" s="104"/>
      <c r="X14" s="242"/>
      <c r="Y14" s="242"/>
      <c r="Z14" s="102" t="str">
        <f>IF(E14="ND",25,IF(E14="ND12,5",12.5,""))</f>
        <v/>
      </c>
      <c r="AA14" s="203">
        <f>IF(E13="ND",IF(ISERROR(MATCH(D14,Datenblatt!$L$2:$L$18,0)),3,2),IF(E13="ND12,5",IF(ISERROR(MATCH(D14,Datenblatt!$L$2:$L$18,0)),2.5,2),0))</f>
        <v>0</v>
      </c>
      <c r="AB14" s="203">
        <f>IF((IF(E14="ND",14-IF(D14="",0,VLOOKUP(D14,Datenblatt!$L$2:$M$30,2,FALSE)),IF(E14="ND12,5",2,0)))&lt;0,0,(IF(E14="ND",14-IF(D14="",0,VLOOKUP(D14,Datenblatt!$L$2:$M$30,2,FALSE)),IF(E14="ND12,5",2,0))))</f>
        <v>0</v>
      </c>
      <c r="AC14" s="203">
        <f>IF(OR(E14="ND",E14="ND12,5"),2,0)</f>
        <v>0</v>
      </c>
      <c r="AD14" s="203">
        <f>IF(OR(E13="ND",E13="ND12,5"),6,0)</f>
        <v>0</v>
      </c>
      <c r="AE14" s="203">
        <f>IF(AND(E13="ND",AA14&gt;=2),1,IF(AND(E13="ND12,5",AA14&gt;=2),0.5,0))</f>
        <v>0</v>
      </c>
      <c r="AF14" s="103">
        <f>IF(OR(D14="ND",D14="ND12,5"),2-X14,0)</f>
        <v>0</v>
      </c>
      <c r="AG14" s="103">
        <f>IF(OR(D13="ND",D13="ND12,5"),6-Y14,0)</f>
        <v>0</v>
      </c>
      <c r="AH14" s="103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46175</v>
      </c>
      <c r="C15" s="82">
        <f t="shared" ref="C15:C41" si="4">C14+1</f>
        <v>46175</v>
      </c>
      <c r="D15" s="64"/>
      <c r="E15" s="64"/>
      <c r="F15" s="65"/>
      <c r="G15" s="66"/>
      <c r="H15" s="65"/>
      <c r="I15" s="65"/>
      <c r="J15" s="91"/>
      <c r="K15" s="201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8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199" t="str">
        <f>IF(D15="","",IF(E14="ND",VLOOKUP(D15,Datenblatt!$A$2:$C$31,3,FALSE)-1,IF(E14="ND12,5",VLOOKUP(D15,Datenblatt!$A$2:$C$31,3,FALSE)-0.5,VLOOKUP(D15,Datenblatt!$A$2:$C$31,3,FALSE))))</f>
        <v/>
      </c>
      <c r="N15" s="200" t="str">
        <f t="shared" si="2"/>
        <v/>
      </c>
      <c r="O15" s="200" t="str">
        <f t="shared" si="3"/>
        <v/>
      </c>
      <c r="P15" s="175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2">
        <f t="shared" ref="T15:T43" si="5">IF(K15="",0,K15)</f>
        <v>0</v>
      </c>
      <c r="U15" s="105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3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3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2">
        <f t="array" ref="X15">IF(T15=0,0,IF((AND((ROW(T15)=MATCH(TRUE,($T$1:$T$43)&gt;0,0)))),IF(W15&gt;=6,W15-6,0),IF(W15&gt;=2,2,W15)))</f>
        <v>0</v>
      </c>
      <c r="Y15" s="242">
        <f t="array" ref="Y15">IF(T14=0,0,(IF((AND((ROW(T14)=MATCH(TRUE,($T$1:$T$43)&gt;0,0)))),IF(W14&gt;=6,6,W14),IF(W14&gt;=2,W14-2,0))))</f>
        <v>0</v>
      </c>
      <c r="Z15" s="102" t="str">
        <f t="shared" ref="Z15:Z43" si="6">IF(E15="ND",25,IF(E15="ND12,5",12.5,""))</f>
        <v/>
      </c>
      <c r="AA15" s="203">
        <f>IF(E14="ND",IF(ISERROR(MATCH(D15,Datenblatt!$L$2:$L$18,0)),3,2),IF(E14="ND12,5",IF(ISERROR(MATCH(D15,Datenblatt!$L$2:$L$18,0)),2.5,2),0))</f>
        <v>0</v>
      </c>
      <c r="AB15" s="203">
        <f>IF((IF(E15="ND",14-IF(D15="",0,VLOOKUP(D15,Datenblatt!$L$2:$M$30,2,FALSE)),IF(E15="ND12,5",2,0)))&lt;0,0,(IF(E15="ND",14-IF(D15="",0,VLOOKUP(D15,Datenblatt!$L$2:$M$30,2,FALSE)),IF(E15="ND12,5",2,0))))</f>
        <v>0</v>
      </c>
      <c r="AC15" s="203">
        <f t="shared" ref="AC15:AC43" si="7">IF(OR(E15="ND",E15="ND12,5"),2,0)</f>
        <v>0</v>
      </c>
      <c r="AD15" s="203">
        <f t="shared" ref="AD15:AD43" si="8">IF(OR(E14="ND",E14="ND12,5"),6,0)</f>
        <v>0</v>
      </c>
      <c r="AE15" s="203">
        <f t="shared" ref="AE15:AE43" si="9">IF(AND(E14="ND",AA15&gt;=2),1,IF(AND(E14="ND12,5",AA15&gt;=2),0.5,0))</f>
        <v>0</v>
      </c>
      <c r="AF15" s="103">
        <f t="shared" ref="AF15:AF43" si="10">IF(OR(D15="ND",D15="ND12,5"),2-X15,0)</f>
        <v>0</v>
      </c>
      <c r="AG15" s="103">
        <f t="shared" ref="AG15:AG43" si="11">IF(OR(D14="ND",D14="ND12,5"),6-Y15,0)</f>
        <v>0</v>
      </c>
      <c r="AH15" s="103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46176</v>
      </c>
      <c r="C16" s="82">
        <f t="shared" si="4"/>
        <v>46176</v>
      </c>
      <c r="D16" s="64"/>
      <c r="E16" s="64"/>
      <c r="F16" s="65"/>
      <c r="G16" s="66"/>
      <c r="H16" s="65"/>
      <c r="I16" s="65"/>
      <c r="J16" s="91"/>
      <c r="K16" s="201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8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199" t="str">
        <f>IF(D16="","",IF(E15="ND",VLOOKUP(D16,Datenblatt!$A$2:$C$31,3,FALSE)-1,IF(E15="ND12,5",VLOOKUP(D16,Datenblatt!$A$2:$C$31,3,FALSE)-0.5,VLOOKUP(D16,Datenblatt!$A$2:$C$31,3,FALSE))))</f>
        <v/>
      </c>
      <c r="N16" s="200" t="str">
        <f t="shared" si="2"/>
        <v/>
      </c>
      <c r="O16" s="200" t="str">
        <f t="shared" si="3"/>
        <v/>
      </c>
      <c r="P16" s="175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2">
        <f t="shared" si="5"/>
        <v>0</v>
      </c>
      <c r="U16" s="105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3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3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2">
        <f t="array" ref="X16">IF(T16=0,0,IF((AND((ROW(T16)=MATCH(TRUE,($T$1:$T$43)&gt;0,0)))),IF(W16&gt;=6,W16-6,0),IF(W16&gt;=2,2,W16)))</f>
        <v>0</v>
      </c>
      <c r="Y16" s="242">
        <f t="array" ref="Y16">IF(T15=0,0,(IF((AND((ROW(T15)=MATCH(TRUE,($T$1:$T$43)&gt;0,0)))),IF(W15&gt;=6,6,W15),IF(W15&gt;=2,W15-2,0))))</f>
        <v>0</v>
      </c>
      <c r="Z16" s="102" t="str">
        <f t="shared" si="6"/>
        <v/>
      </c>
      <c r="AA16" s="203">
        <f>IF(E15="ND",IF(ISERROR(MATCH(D16,Datenblatt!$L$2:$L$18,0)),3,2),IF(E15="ND12,5",IF(ISERROR(MATCH(D16,Datenblatt!$L$2:$L$18,0)),2.5,2),0))</f>
        <v>0</v>
      </c>
      <c r="AB16" s="203">
        <f>IF((IF(E16="ND",14-IF(D16="",0,VLOOKUP(D16,Datenblatt!$L$2:$M$30,2,FALSE)),IF(E16="ND12,5",2,0)))&lt;0,0,(IF(E16="ND",14-IF(D16="",0,VLOOKUP(D16,Datenblatt!$L$2:$M$30,2,FALSE)),IF(E16="ND12,5",2,0))))</f>
        <v>0</v>
      </c>
      <c r="AC16" s="203">
        <f t="shared" si="7"/>
        <v>0</v>
      </c>
      <c r="AD16" s="203">
        <f t="shared" si="8"/>
        <v>0</v>
      </c>
      <c r="AE16" s="203">
        <f t="shared" si="9"/>
        <v>0</v>
      </c>
      <c r="AF16" s="103">
        <f t="shared" si="10"/>
        <v>0</v>
      </c>
      <c r="AG16" s="103">
        <f t="shared" si="11"/>
        <v>0</v>
      </c>
      <c r="AH16" s="103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>Ft</v>
      </c>
      <c r="B17" s="80">
        <f t="shared" si="0"/>
        <v>46177</v>
      </c>
      <c r="C17" s="82">
        <f t="shared" si="4"/>
        <v>46177</v>
      </c>
      <c r="D17" s="64"/>
      <c r="E17" s="64"/>
      <c r="F17" s="65"/>
      <c r="G17" s="66"/>
      <c r="H17" s="65"/>
      <c r="I17" s="65"/>
      <c r="J17" s="91"/>
      <c r="K17" s="201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8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199" t="str">
        <f>IF(D17="","",IF(E16="ND",VLOOKUP(D17,Datenblatt!$A$2:$C$31,3,FALSE)-1,IF(E16="ND12,5",VLOOKUP(D17,Datenblatt!$A$2:$C$31,3,FALSE)-0.5,VLOOKUP(D17,Datenblatt!$A$2:$C$31,3,FALSE))))</f>
        <v/>
      </c>
      <c r="N17" s="200" t="str">
        <f t="shared" si="2"/>
        <v/>
      </c>
      <c r="O17" s="200">
        <f t="shared" si="3"/>
        <v>0</v>
      </c>
      <c r="P17" s="175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2">
        <f t="shared" si="5"/>
        <v>0</v>
      </c>
      <c r="U17" s="105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3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3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2">
        <f t="array" ref="X17">IF(T17=0,0,IF((AND((ROW(T17)=MATCH(TRUE,($T$1:$T$43)&gt;0,0)))),IF(W17&gt;=6,W17-6,0),IF(W17&gt;=2,2,W17)))</f>
        <v>0</v>
      </c>
      <c r="Y17" s="242">
        <f t="array" ref="Y17">IF(T16=0,0,(IF((AND((ROW(T16)=MATCH(TRUE,($T$1:$T$43)&gt;0,0)))),IF(W16&gt;=6,6,W16),IF(W16&gt;=2,W16-2,0))))</f>
        <v>0</v>
      </c>
      <c r="Z17" s="102" t="str">
        <f t="shared" si="6"/>
        <v/>
      </c>
      <c r="AA17" s="203">
        <f>IF(E16="ND",IF(ISERROR(MATCH(D17,Datenblatt!$L$2:$L$18,0)),3,2),IF(E16="ND12,5",IF(ISERROR(MATCH(D17,Datenblatt!$L$2:$L$18,0)),2.5,2),0))</f>
        <v>0</v>
      </c>
      <c r="AB17" s="203">
        <f>IF((IF(E17="ND",14-IF(D17="",0,VLOOKUP(D17,Datenblatt!$L$2:$M$30,2,FALSE)),IF(E17="ND12,5",2,0)))&lt;0,0,(IF(E17="ND",14-IF(D17="",0,VLOOKUP(D17,Datenblatt!$L$2:$M$30,2,FALSE)),IF(E17="ND12,5",2,0))))</f>
        <v>0</v>
      </c>
      <c r="AC17" s="203">
        <f t="shared" si="7"/>
        <v>0</v>
      </c>
      <c r="AD17" s="203">
        <f t="shared" si="8"/>
        <v>0</v>
      </c>
      <c r="AE17" s="203">
        <f t="shared" si="9"/>
        <v>0</v>
      </c>
      <c r="AF17" s="103">
        <f t="shared" si="10"/>
        <v>0</v>
      </c>
      <c r="AG17" s="103">
        <f t="shared" si="11"/>
        <v>0</v>
      </c>
      <c r="AH17" s="103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46178</v>
      </c>
      <c r="C18" s="82">
        <f t="shared" si="4"/>
        <v>46178</v>
      </c>
      <c r="D18" s="64"/>
      <c r="E18" s="64"/>
      <c r="F18" s="65"/>
      <c r="G18" s="66"/>
      <c r="H18" s="65"/>
      <c r="I18" s="65"/>
      <c r="J18" s="91"/>
      <c r="K18" s="201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8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199" t="str">
        <f>IF(D18="","",IF(E17="ND",VLOOKUP(D18,Datenblatt!$A$2:$C$31,3,FALSE)-1,IF(E17="ND12,5",VLOOKUP(D18,Datenblatt!$A$2:$C$31,3,FALSE)-0.5,VLOOKUP(D18,Datenblatt!$A$2:$C$31,3,FALSE))))</f>
        <v/>
      </c>
      <c r="N18" s="200" t="str">
        <f t="shared" si="2"/>
        <v/>
      </c>
      <c r="O18" s="200" t="str">
        <f t="shared" si="3"/>
        <v/>
      </c>
      <c r="P18" s="175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2">
        <f t="shared" si="5"/>
        <v>0</v>
      </c>
      <c r="U18" s="105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3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3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2">
        <f t="array" ref="X18">IF(T18=0,0,IF((AND((ROW(T18)=MATCH(TRUE,($T$1:$T$43)&gt;0,0)))),IF(W18&gt;=6,W18-6,0),IF(W18&gt;=2,2,W18)))</f>
        <v>0</v>
      </c>
      <c r="Y18" s="242">
        <f t="array" ref="Y18">IF(T17=0,0,(IF((AND((ROW(T17)=MATCH(TRUE,($T$1:$T$43)&gt;0,0)))),IF(W17&gt;=6,6,W17),IF(W17&gt;=2,W17-2,0))))</f>
        <v>0</v>
      </c>
      <c r="Z18" s="102" t="str">
        <f t="shared" si="6"/>
        <v/>
      </c>
      <c r="AA18" s="203">
        <f>IF(E17="ND",IF(ISERROR(MATCH(D18,Datenblatt!$L$2:$L$18,0)),3,2),IF(E17="ND12,5",IF(ISERROR(MATCH(D18,Datenblatt!$L$2:$L$18,0)),2.5,2),0))</f>
        <v>0</v>
      </c>
      <c r="AB18" s="203">
        <f>IF((IF(E18="ND",14-IF(D18="",0,VLOOKUP(D18,Datenblatt!$L$2:$M$30,2,FALSE)),IF(E18="ND12,5",2,0)))&lt;0,0,(IF(E18="ND",14-IF(D18="",0,VLOOKUP(D18,Datenblatt!$L$2:$M$30,2,FALSE)),IF(E18="ND12,5",2,0))))</f>
        <v>0</v>
      </c>
      <c r="AC18" s="203">
        <f t="shared" si="7"/>
        <v>0</v>
      </c>
      <c r="AD18" s="203">
        <f t="shared" si="8"/>
        <v>0</v>
      </c>
      <c r="AE18" s="203">
        <f t="shared" si="9"/>
        <v>0</v>
      </c>
      <c r="AF18" s="103">
        <f t="shared" si="10"/>
        <v>0</v>
      </c>
      <c r="AG18" s="103">
        <f t="shared" si="11"/>
        <v>0</v>
      </c>
      <c r="AH18" s="103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46179</v>
      </c>
      <c r="C19" s="82">
        <f t="shared" si="4"/>
        <v>46179</v>
      </c>
      <c r="D19" s="64"/>
      <c r="E19" s="64"/>
      <c r="F19" s="65"/>
      <c r="G19" s="66"/>
      <c r="H19" s="65"/>
      <c r="I19" s="65"/>
      <c r="J19" s="91"/>
      <c r="K19" s="201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8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199" t="str">
        <f>IF(D19="","",IF(E18="ND",VLOOKUP(D19,Datenblatt!$A$2:$C$31,3,FALSE)-1,IF(E18="ND12,5",VLOOKUP(D19,Datenblatt!$A$2:$C$31,3,FALSE)-0.5,VLOOKUP(D19,Datenblatt!$A$2:$C$31,3,FALSE))))</f>
        <v/>
      </c>
      <c r="N19" s="200" t="str">
        <f t="shared" si="2"/>
        <v/>
      </c>
      <c r="O19" s="200" t="str">
        <f t="shared" si="3"/>
        <v/>
      </c>
      <c r="P19" s="175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2">
        <f t="shared" si="5"/>
        <v>0</v>
      </c>
      <c r="U19" s="105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3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3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2">
        <f t="array" ref="X19">IF(T19=0,0,IF((AND((ROW(T19)=MATCH(TRUE,($T$1:$T$43)&gt;0,0)))),IF(W19&gt;=6,W19-6,0),IF(W19&gt;=2,2,W19)))</f>
        <v>0</v>
      </c>
      <c r="Y19" s="242">
        <f t="array" ref="Y19">IF(T18=0,0,(IF((AND((ROW(T18)=MATCH(TRUE,($T$1:$T$43)&gt;0,0)))),IF(W18&gt;=6,6,W18),IF(W18&gt;=2,W18-2,0))))</f>
        <v>0</v>
      </c>
      <c r="Z19" s="102" t="str">
        <f t="shared" si="6"/>
        <v/>
      </c>
      <c r="AA19" s="203">
        <f>IF(E18="ND",IF(ISERROR(MATCH(D19,Datenblatt!$L$2:$L$18,0)),3,2),IF(E18="ND12,5",IF(ISERROR(MATCH(D19,Datenblatt!$L$2:$L$18,0)),2.5,2),0))</f>
        <v>0</v>
      </c>
      <c r="AB19" s="203">
        <f>IF((IF(E19="ND",14-IF(D19="",0,VLOOKUP(D19,Datenblatt!$L$2:$M$30,2,FALSE)),IF(E19="ND12,5",2,0)))&lt;0,0,(IF(E19="ND",14-IF(D19="",0,VLOOKUP(D19,Datenblatt!$L$2:$M$30,2,FALSE)),IF(E19="ND12,5",2,0))))</f>
        <v>0</v>
      </c>
      <c r="AC19" s="203">
        <f t="shared" si="7"/>
        <v>0</v>
      </c>
      <c r="AD19" s="203">
        <f t="shared" si="8"/>
        <v>0</v>
      </c>
      <c r="AE19" s="203">
        <f t="shared" si="9"/>
        <v>0</v>
      </c>
      <c r="AF19" s="103">
        <f t="shared" si="10"/>
        <v>0</v>
      </c>
      <c r="AG19" s="103">
        <f t="shared" si="11"/>
        <v>0</v>
      </c>
      <c r="AH19" s="103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46180</v>
      </c>
      <c r="C20" s="82">
        <f t="shared" si="4"/>
        <v>46180</v>
      </c>
      <c r="D20" s="64"/>
      <c r="E20" s="64"/>
      <c r="F20" s="65"/>
      <c r="G20" s="66"/>
      <c r="H20" s="65"/>
      <c r="I20" s="65"/>
      <c r="J20" s="91"/>
      <c r="K20" s="201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8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199" t="str">
        <f>IF(D20="","",IF(E19="ND",VLOOKUP(D20,Datenblatt!$A$2:$C$31,3,FALSE)-1,IF(E19="ND12,5",VLOOKUP(D20,Datenblatt!$A$2:$C$31,3,FALSE)-0.5,VLOOKUP(D20,Datenblatt!$A$2:$C$31,3,FALSE))))</f>
        <v/>
      </c>
      <c r="N20" s="200" t="str">
        <f t="shared" si="2"/>
        <v/>
      </c>
      <c r="O20" s="200">
        <f t="shared" si="3"/>
        <v>0</v>
      </c>
      <c r="P20" s="175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2">
        <f t="shared" si="5"/>
        <v>0</v>
      </c>
      <c r="U20" s="105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3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3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2">
        <f t="array" ref="X20">IF(T20=0,0,IF((AND((ROW(T20)=MATCH(TRUE,($T$1:$T$43)&gt;0,0)))),IF(W20&gt;=6,W20-6,0),IF(W20&gt;=2,2,W20)))</f>
        <v>0</v>
      </c>
      <c r="Y20" s="242">
        <f t="array" ref="Y20">IF(T19=0,0,(IF((AND((ROW(T19)=MATCH(TRUE,($T$1:$T$43)&gt;0,0)))),IF(W19&gt;=6,6,W19),IF(W19&gt;=2,W19-2,0))))</f>
        <v>0</v>
      </c>
      <c r="Z20" s="102" t="str">
        <f t="shared" si="6"/>
        <v/>
      </c>
      <c r="AA20" s="203">
        <f>IF(E19="ND",IF(ISERROR(MATCH(D20,Datenblatt!$L$2:$L$18,0)),3,2),IF(E19="ND12,5",IF(ISERROR(MATCH(D20,Datenblatt!$L$2:$L$18,0)),2.5,2),0))</f>
        <v>0</v>
      </c>
      <c r="AB20" s="203">
        <f>IF((IF(E20="ND",14-IF(D20="",0,VLOOKUP(D20,Datenblatt!$L$2:$M$30,2,FALSE)),IF(E20="ND12,5",2,0)))&lt;0,0,(IF(E20="ND",14-IF(D20="",0,VLOOKUP(D20,Datenblatt!$L$2:$M$30,2,FALSE)),IF(E20="ND12,5",2,0))))</f>
        <v>0</v>
      </c>
      <c r="AC20" s="203">
        <f t="shared" si="7"/>
        <v>0</v>
      </c>
      <c r="AD20" s="203">
        <f t="shared" si="8"/>
        <v>0</v>
      </c>
      <c r="AE20" s="203">
        <f t="shared" si="9"/>
        <v>0</v>
      </c>
      <c r="AF20" s="103">
        <f t="shared" si="10"/>
        <v>0</v>
      </c>
      <c r="AG20" s="103">
        <f t="shared" si="11"/>
        <v>0</v>
      </c>
      <c r="AH20" s="103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46181</v>
      </c>
      <c r="C21" s="82">
        <f t="shared" si="4"/>
        <v>46181</v>
      </c>
      <c r="D21" s="64"/>
      <c r="E21" s="64"/>
      <c r="F21" s="65"/>
      <c r="G21" s="66"/>
      <c r="H21" s="65"/>
      <c r="I21" s="65"/>
      <c r="J21" s="91"/>
      <c r="K21" s="201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8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199" t="str">
        <f>IF(D21="","",IF(E20="ND",VLOOKUP(D21,Datenblatt!$A$2:$C$31,3,FALSE)-1,IF(E20="ND12,5",VLOOKUP(D21,Datenblatt!$A$2:$C$31,3,FALSE)-0.5,VLOOKUP(D21,Datenblatt!$A$2:$C$31,3,FALSE))))</f>
        <v/>
      </c>
      <c r="N21" s="200" t="str">
        <f t="shared" si="2"/>
        <v/>
      </c>
      <c r="O21" s="200" t="str">
        <f t="shared" si="3"/>
        <v/>
      </c>
      <c r="P21" s="175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2">
        <f t="shared" si="5"/>
        <v>0</v>
      </c>
      <c r="U21" s="105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3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3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2">
        <f t="array" ref="X21">IF(T21=0,0,IF((AND((ROW(T21)=MATCH(TRUE,($T$1:$T$43)&gt;0,0)))),IF(W21&gt;=6,W21-6,0),IF(W21&gt;=2,2,W21)))</f>
        <v>0</v>
      </c>
      <c r="Y21" s="242">
        <f t="array" ref="Y21">IF(T20=0,0,(IF((AND((ROW(T20)=MATCH(TRUE,($T$1:$T$43)&gt;0,0)))),IF(W20&gt;=6,6,W20),IF(W20&gt;=2,W20-2,0))))</f>
        <v>0</v>
      </c>
      <c r="Z21" s="102" t="str">
        <f t="shared" si="6"/>
        <v/>
      </c>
      <c r="AA21" s="203">
        <f>IF(E20="ND",IF(ISERROR(MATCH(D21,Datenblatt!$L$2:$L$18,0)),3,2),IF(E20="ND12,5",IF(ISERROR(MATCH(D21,Datenblatt!$L$2:$L$18,0)),2.5,2),0))</f>
        <v>0</v>
      </c>
      <c r="AB21" s="203">
        <f>IF((IF(E21="ND",14-IF(D21="",0,VLOOKUP(D21,Datenblatt!$L$2:$M$30,2,FALSE)),IF(E21="ND12,5",2,0)))&lt;0,0,(IF(E21="ND",14-IF(D21="",0,VLOOKUP(D21,Datenblatt!$L$2:$M$30,2,FALSE)),IF(E21="ND12,5",2,0))))</f>
        <v>0</v>
      </c>
      <c r="AC21" s="203">
        <f t="shared" si="7"/>
        <v>0</v>
      </c>
      <c r="AD21" s="203">
        <f t="shared" si="8"/>
        <v>0</v>
      </c>
      <c r="AE21" s="203">
        <f t="shared" si="9"/>
        <v>0</v>
      </c>
      <c r="AF21" s="103">
        <f t="shared" si="10"/>
        <v>0</v>
      </c>
      <c r="AG21" s="103">
        <f t="shared" si="11"/>
        <v>0</v>
      </c>
      <c r="AH21" s="103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46182</v>
      </c>
      <c r="C22" s="82">
        <f t="shared" si="4"/>
        <v>46182</v>
      </c>
      <c r="D22" s="64"/>
      <c r="E22" s="64"/>
      <c r="F22" s="65"/>
      <c r="G22" s="66"/>
      <c r="H22" s="65"/>
      <c r="I22" s="65"/>
      <c r="J22" s="91"/>
      <c r="K22" s="201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8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199" t="str">
        <f>IF(D22="","",IF(E21="ND",VLOOKUP(D22,Datenblatt!$A$2:$C$31,3,FALSE)-1,IF(E21="ND12,5",VLOOKUP(D22,Datenblatt!$A$2:$C$31,3,FALSE)-0.5,VLOOKUP(D22,Datenblatt!$A$2:$C$31,3,FALSE))))</f>
        <v/>
      </c>
      <c r="N22" s="200" t="str">
        <f t="shared" si="2"/>
        <v/>
      </c>
      <c r="O22" s="200" t="str">
        <f t="shared" si="3"/>
        <v/>
      </c>
      <c r="P22" s="175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2">
        <f t="shared" si="5"/>
        <v>0</v>
      </c>
      <c r="U22" s="105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3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3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2">
        <f t="array" ref="X22">IF(T22=0,0,IF((AND((ROW(T22)=MATCH(TRUE,($T$1:$T$43)&gt;0,0)))),IF(W22&gt;=6,W22-6,0),IF(W22&gt;=2,2,W22)))</f>
        <v>0</v>
      </c>
      <c r="Y22" s="242">
        <f t="array" ref="Y22">IF(T21=0,0,(IF((AND((ROW(T21)=MATCH(TRUE,($T$1:$T$43)&gt;0,0)))),IF(W21&gt;=6,6,W21),IF(W21&gt;=2,W21-2,0))))</f>
        <v>0</v>
      </c>
      <c r="Z22" s="102" t="str">
        <f t="shared" si="6"/>
        <v/>
      </c>
      <c r="AA22" s="203">
        <f>IF(E21="ND",IF(ISERROR(MATCH(D22,Datenblatt!$L$2:$L$18,0)),3,2),IF(E21="ND12,5",IF(ISERROR(MATCH(D22,Datenblatt!$L$2:$L$18,0)),2.5,2),0))</f>
        <v>0</v>
      </c>
      <c r="AB22" s="203">
        <f>IF((IF(E22="ND",14-IF(D22="",0,VLOOKUP(D22,Datenblatt!$L$2:$M$30,2,FALSE)),IF(E22="ND12,5",2,0)))&lt;0,0,(IF(E22="ND",14-IF(D22="",0,VLOOKUP(D22,Datenblatt!$L$2:$M$30,2,FALSE)),IF(E22="ND12,5",2,0))))</f>
        <v>0</v>
      </c>
      <c r="AC22" s="203">
        <f t="shared" si="7"/>
        <v>0</v>
      </c>
      <c r="AD22" s="203">
        <f t="shared" si="8"/>
        <v>0</v>
      </c>
      <c r="AE22" s="203">
        <f t="shared" si="9"/>
        <v>0</v>
      </c>
      <c r="AF22" s="103">
        <f t="shared" si="10"/>
        <v>0</v>
      </c>
      <c r="AG22" s="103">
        <f t="shared" si="11"/>
        <v>0</v>
      </c>
      <c r="AH22" s="103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46183</v>
      </c>
      <c r="C23" s="82">
        <f t="shared" si="4"/>
        <v>46183</v>
      </c>
      <c r="D23" s="64"/>
      <c r="E23" s="64"/>
      <c r="F23" s="65"/>
      <c r="G23" s="66"/>
      <c r="H23" s="65"/>
      <c r="I23" s="65"/>
      <c r="J23" s="91"/>
      <c r="K23" s="201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8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199" t="str">
        <f>IF(D23="","",IF(E22="ND",VLOOKUP(D23,Datenblatt!$A$2:$C$31,3,FALSE)-1,IF(E22="ND12,5",VLOOKUP(D23,Datenblatt!$A$2:$C$31,3,FALSE)-0.5,VLOOKUP(D23,Datenblatt!$A$2:$C$31,3,FALSE))))</f>
        <v/>
      </c>
      <c r="N23" s="200" t="str">
        <f t="shared" si="2"/>
        <v/>
      </c>
      <c r="O23" s="200" t="str">
        <f t="shared" si="3"/>
        <v/>
      </c>
      <c r="P23" s="175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2">
        <f t="shared" si="5"/>
        <v>0</v>
      </c>
      <c r="U23" s="105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3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3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2">
        <f t="array" ref="X23">IF(T23=0,0,IF((AND((ROW(T23)=MATCH(TRUE,($T$1:$T$43)&gt;0,0)))),IF(W23&gt;=6,W23-6,0),IF(W23&gt;=2,2,W23)))</f>
        <v>0</v>
      </c>
      <c r="Y23" s="242">
        <f t="array" ref="Y23">IF(T22=0,0,(IF((AND((ROW(T22)=MATCH(TRUE,($T$1:$T$43)&gt;0,0)))),IF(W22&gt;=6,6,W22),IF(W22&gt;=2,W22-2,0))))</f>
        <v>0</v>
      </c>
      <c r="Z23" s="102" t="str">
        <f t="shared" si="6"/>
        <v/>
      </c>
      <c r="AA23" s="203">
        <f>IF(E22="ND",IF(ISERROR(MATCH(D23,Datenblatt!$L$2:$L$18,0)),3,2),IF(E22="ND12,5",IF(ISERROR(MATCH(D23,Datenblatt!$L$2:$L$18,0)),2.5,2),0))</f>
        <v>0</v>
      </c>
      <c r="AB23" s="203">
        <f>IF((IF(E23="ND",14-IF(D23="",0,VLOOKUP(D23,Datenblatt!$L$2:$M$30,2,FALSE)),IF(E23="ND12,5",2,0)))&lt;0,0,(IF(E23="ND",14-IF(D23="",0,VLOOKUP(D23,Datenblatt!$L$2:$M$30,2,FALSE)),IF(E23="ND12,5",2,0))))</f>
        <v>0</v>
      </c>
      <c r="AC23" s="203">
        <f t="shared" si="7"/>
        <v>0</v>
      </c>
      <c r="AD23" s="203">
        <f t="shared" si="8"/>
        <v>0</v>
      </c>
      <c r="AE23" s="203">
        <f t="shared" si="9"/>
        <v>0</v>
      </c>
      <c r="AF23" s="103">
        <f t="shared" si="10"/>
        <v>0</v>
      </c>
      <c r="AG23" s="103">
        <f t="shared" si="11"/>
        <v>0</v>
      </c>
      <c r="AH23" s="103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46184</v>
      </c>
      <c r="C24" s="82">
        <f t="shared" si="4"/>
        <v>46184</v>
      </c>
      <c r="D24" s="64"/>
      <c r="E24" s="64"/>
      <c r="F24" s="65"/>
      <c r="G24" s="66"/>
      <c r="H24" s="65"/>
      <c r="I24" s="65"/>
      <c r="J24" s="91"/>
      <c r="K24" s="201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8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199" t="str">
        <f>IF(D24="","",IF(E23="ND",VLOOKUP(D24,Datenblatt!$A$2:$C$31,3,FALSE)-1,IF(E23="ND12,5",VLOOKUP(D24,Datenblatt!$A$2:$C$31,3,FALSE)-0.5,VLOOKUP(D24,Datenblatt!$A$2:$C$31,3,FALSE))))</f>
        <v/>
      </c>
      <c r="N24" s="200" t="str">
        <f t="shared" si="2"/>
        <v/>
      </c>
      <c r="O24" s="200" t="str">
        <f t="shared" si="3"/>
        <v/>
      </c>
      <c r="P24" s="175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2">
        <f t="shared" si="5"/>
        <v>0</v>
      </c>
      <c r="U24" s="105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3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3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2">
        <f t="array" ref="X24">IF(T24=0,0,IF((AND((ROW(T24)=MATCH(TRUE,($T$1:$T$43)&gt;0,0)))),IF(W24&gt;=6,W24-6,0),IF(W24&gt;=2,2,W24)))</f>
        <v>0</v>
      </c>
      <c r="Y24" s="242">
        <f t="array" ref="Y24">IF(T23=0,0,(IF((AND((ROW(T23)=MATCH(TRUE,($T$1:$T$43)&gt;0,0)))),IF(W23&gt;=6,6,W23),IF(W23&gt;=2,W23-2,0))))</f>
        <v>0</v>
      </c>
      <c r="Z24" s="102" t="str">
        <f t="shared" si="6"/>
        <v/>
      </c>
      <c r="AA24" s="203">
        <f>IF(E23="ND",IF(ISERROR(MATCH(D24,Datenblatt!$L$2:$L$18,0)),3,2),IF(E23="ND12,5",IF(ISERROR(MATCH(D24,Datenblatt!$L$2:$L$18,0)),2.5,2),0))</f>
        <v>0</v>
      </c>
      <c r="AB24" s="203">
        <f>IF((IF(E24="ND",14-IF(D24="",0,VLOOKUP(D24,Datenblatt!$L$2:$M$30,2,FALSE)),IF(E24="ND12,5",2,0)))&lt;0,0,(IF(E24="ND",14-IF(D24="",0,VLOOKUP(D24,Datenblatt!$L$2:$M$30,2,FALSE)),IF(E24="ND12,5",2,0))))</f>
        <v>0</v>
      </c>
      <c r="AC24" s="203">
        <f t="shared" si="7"/>
        <v>0</v>
      </c>
      <c r="AD24" s="203">
        <f t="shared" si="8"/>
        <v>0</v>
      </c>
      <c r="AE24" s="203">
        <f t="shared" si="9"/>
        <v>0</v>
      </c>
      <c r="AF24" s="103">
        <f t="shared" si="10"/>
        <v>0</v>
      </c>
      <c r="AG24" s="103">
        <f t="shared" si="11"/>
        <v>0</v>
      </c>
      <c r="AH24" s="103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46185</v>
      </c>
      <c r="C25" s="82">
        <f t="shared" si="4"/>
        <v>46185</v>
      </c>
      <c r="D25" s="64"/>
      <c r="E25" s="64"/>
      <c r="F25" s="65"/>
      <c r="G25" s="66"/>
      <c r="H25" s="65"/>
      <c r="I25" s="65"/>
      <c r="J25" s="91"/>
      <c r="K25" s="201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8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199" t="str">
        <f>IF(D25="","",IF(E24="ND",VLOOKUP(D25,Datenblatt!$A$2:$C$31,3,FALSE)-1,IF(E24="ND12,5",VLOOKUP(D25,Datenblatt!$A$2:$C$31,3,FALSE)-0.5,VLOOKUP(D25,Datenblatt!$A$2:$C$31,3,FALSE))))</f>
        <v/>
      </c>
      <c r="N25" s="200" t="str">
        <f t="shared" si="2"/>
        <v/>
      </c>
      <c r="O25" s="200" t="str">
        <f t="shared" si="3"/>
        <v/>
      </c>
      <c r="P25" s="175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2">
        <f t="shared" si="5"/>
        <v>0</v>
      </c>
      <c r="U25" s="105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3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3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2">
        <f t="array" ref="X25">IF(T25=0,0,IF((AND((ROW(T25)=MATCH(TRUE,($T$1:$T$43)&gt;0,0)))),IF(W25&gt;=6,W25-6,0),IF(W25&gt;=2,2,W25)))</f>
        <v>0</v>
      </c>
      <c r="Y25" s="242">
        <f t="array" ref="Y25">IF(T24=0,0,(IF((AND((ROW(T24)=MATCH(TRUE,($T$1:$T$43)&gt;0,0)))),IF(W24&gt;=6,6,W24),IF(W24&gt;=2,W24-2,0))))</f>
        <v>0</v>
      </c>
      <c r="Z25" s="102" t="str">
        <f t="shared" si="6"/>
        <v/>
      </c>
      <c r="AA25" s="203">
        <f>IF(E24="ND",IF(ISERROR(MATCH(D25,Datenblatt!$L$2:$L$18,0)),3,2),IF(E24="ND12,5",IF(ISERROR(MATCH(D25,Datenblatt!$L$2:$L$18,0)),2.5,2),0))</f>
        <v>0</v>
      </c>
      <c r="AB25" s="203">
        <f>IF((IF(E25="ND",14-IF(D25="",0,VLOOKUP(D25,Datenblatt!$L$2:$M$30,2,FALSE)),IF(E25="ND12,5",2,0)))&lt;0,0,(IF(E25="ND",14-IF(D25="",0,VLOOKUP(D25,Datenblatt!$L$2:$M$30,2,FALSE)),IF(E25="ND12,5",2,0))))</f>
        <v>0</v>
      </c>
      <c r="AC25" s="203">
        <f t="shared" si="7"/>
        <v>0</v>
      </c>
      <c r="AD25" s="203">
        <f t="shared" si="8"/>
        <v>0</v>
      </c>
      <c r="AE25" s="203">
        <f t="shared" si="9"/>
        <v>0</v>
      </c>
      <c r="AF25" s="103">
        <f t="shared" si="10"/>
        <v>0</v>
      </c>
      <c r="AG25" s="103">
        <f t="shared" si="11"/>
        <v>0</v>
      </c>
      <c r="AH25" s="103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46186</v>
      </c>
      <c r="C26" s="82">
        <f t="shared" si="4"/>
        <v>46186</v>
      </c>
      <c r="D26" s="64"/>
      <c r="E26" s="64"/>
      <c r="F26" s="65"/>
      <c r="G26" s="66"/>
      <c r="H26" s="65"/>
      <c r="I26" s="65"/>
      <c r="J26" s="91"/>
      <c r="K26" s="201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8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199" t="str">
        <f>IF(D26="","",IF(E25="ND",VLOOKUP(D26,Datenblatt!$A$2:$C$31,3,FALSE)-1,IF(E25="ND12,5",VLOOKUP(D26,Datenblatt!$A$2:$C$31,3,FALSE)-0.5,VLOOKUP(D26,Datenblatt!$A$2:$C$31,3,FALSE))))</f>
        <v/>
      </c>
      <c r="N26" s="200" t="str">
        <f t="shared" si="2"/>
        <v/>
      </c>
      <c r="O26" s="200" t="str">
        <f t="shared" si="3"/>
        <v/>
      </c>
      <c r="P26" s="175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2">
        <f t="shared" si="5"/>
        <v>0</v>
      </c>
      <c r="U26" s="105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3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3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2">
        <f t="array" ref="X26">IF(T26=0,0,IF((AND((ROW(T26)=MATCH(TRUE,($T$1:$T$43)&gt;0,0)))),IF(W26&gt;=6,W26-6,0),IF(W26&gt;=2,2,W26)))</f>
        <v>0</v>
      </c>
      <c r="Y26" s="242">
        <f t="array" ref="Y26">IF(T25=0,0,(IF((AND((ROW(T25)=MATCH(TRUE,($T$1:$T$43)&gt;0,0)))),IF(W25&gt;=6,6,W25),IF(W25&gt;=2,W25-2,0))))</f>
        <v>0</v>
      </c>
      <c r="Z26" s="102" t="str">
        <f t="shared" si="6"/>
        <v/>
      </c>
      <c r="AA26" s="203">
        <f>IF(E25="ND",IF(ISERROR(MATCH(D26,Datenblatt!$L$2:$L$18,0)),3,2),IF(E25="ND12,5",IF(ISERROR(MATCH(D26,Datenblatt!$L$2:$L$18,0)),2.5,2),0))</f>
        <v>0</v>
      </c>
      <c r="AB26" s="203">
        <f>IF((IF(E26="ND",14-IF(D26="",0,VLOOKUP(D26,Datenblatt!$L$2:$M$30,2,FALSE)),IF(E26="ND12,5",2,0)))&lt;0,0,(IF(E26="ND",14-IF(D26="",0,VLOOKUP(D26,Datenblatt!$L$2:$M$30,2,FALSE)),IF(E26="ND12,5",2,0))))</f>
        <v>0</v>
      </c>
      <c r="AC26" s="203">
        <f t="shared" si="7"/>
        <v>0</v>
      </c>
      <c r="AD26" s="203">
        <f t="shared" si="8"/>
        <v>0</v>
      </c>
      <c r="AE26" s="203">
        <f t="shared" si="9"/>
        <v>0</v>
      </c>
      <c r="AF26" s="103">
        <f t="shared" si="10"/>
        <v>0</v>
      </c>
      <c r="AG26" s="103">
        <f t="shared" si="11"/>
        <v>0</v>
      </c>
      <c r="AH26" s="103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46187</v>
      </c>
      <c r="C27" s="82">
        <f t="shared" si="4"/>
        <v>46187</v>
      </c>
      <c r="D27" s="64"/>
      <c r="E27" s="64"/>
      <c r="F27" s="65"/>
      <c r="G27" s="66"/>
      <c r="H27" s="65"/>
      <c r="I27" s="65"/>
      <c r="J27" s="91"/>
      <c r="K27" s="201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8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199" t="str">
        <f>IF(D27="","",IF(E26="ND",VLOOKUP(D27,Datenblatt!$A$2:$C$31,3,FALSE)-1,IF(E26="ND12,5",VLOOKUP(D27,Datenblatt!$A$2:$C$31,3,FALSE)-0.5,VLOOKUP(D27,Datenblatt!$A$2:$C$31,3,FALSE))))</f>
        <v/>
      </c>
      <c r="N27" s="200" t="str">
        <f t="shared" si="2"/>
        <v/>
      </c>
      <c r="O27" s="200">
        <f t="shared" si="3"/>
        <v>0</v>
      </c>
      <c r="P27" s="175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2">
        <f t="shared" si="5"/>
        <v>0</v>
      </c>
      <c r="U27" s="105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3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3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2">
        <f t="array" ref="X27">IF(T27=0,0,IF((AND((ROW(T27)=MATCH(TRUE,($T$1:$T$43)&gt;0,0)))),IF(W27&gt;=6,W27-6,0),IF(W27&gt;=2,2,W27)))</f>
        <v>0</v>
      </c>
      <c r="Y27" s="242">
        <f t="array" ref="Y27">IF(T26=0,0,(IF((AND((ROW(T26)=MATCH(TRUE,($T$1:$T$43)&gt;0,0)))),IF(W26&gt;=6,6,W26),IF(W26&gt;=2,W26-2,0))))</f>
        <v>0</v>
      </c>
      <c r="Z27" s="102" t="str">
        <f t="shared" si="6"/>
        <v/>
      </c>
      <c r="AA27" s="203">
        <f>IF(E26="ND",IF(ISERROR(MATCH(D27,Datenblatt!$L$2:$L$18,0)),3,2),IF(E26="ND12,5",IF(ISERROR(MATCH(D27,Datenblatt!$L$2:$L$18,0)),2.5,2),0))</f>
        <v>0</v>
      </c>
      <c r="AB27" s="203">
        <f>IF((IF(E27="ND",14-IF(D27="",0,VLOOKUP(D27,Datenblatt!$L$2:$M$30,2,FALSE)),IF(E27="ND12,5",2,0)))&lt;0,0,(IF(E27="ND",14-IF(D27="",0,VLOOKUP(D27,Datenblatt!$L$2:$M$30,2,FALSE)),IF(E27="ND12,5",2,0))))</f>
        <v>0</v>
      </c>
      <c r="AC27" s="203">
        <f t="shared" si="7"/>
        <v>0</v>
      </c>
      <c r="AD27" s="203">
        <f t="shared" si="8"/>
        <v>0</v>
      </c>
      <c r="AE27" s="203">
        <f t="shared" si="9"/>
        <v>0</v>
      </c>
      <c r="AF27" s="103">
        <f t="shared" si="10"/>
        <v>0</v>
      </c>
      <c r="AG27" s="103">
        <f t="shared" si="11"/>
        <v>0</v>
      </c>
      <c r="AH27" s="103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46188</v>
      </c>
      <c r="C28" s="82">
        <f t="shared" si="4"/>
        <v>46188</v>
      </c>
      <c r="D28" s="64"/>
      <c r="E28" s="64"/>
      <c r="F28" s="65"/>
      <c r="G28" s="66"/>
      <c r="H28" s="65"/>
      <c r="I28" s="65"/>
      <c r="J28" s="91"/>
      <c r="K28" s="201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8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199" t="str">
        <f>IF(D28="","",IF(E27="ND",VLOOKUP(D28,Datenblatt!$A$2:$C$31,3,FALSE)-1,IF(E27="ND12,5",VLOOKUP(D28,Datenblatt!$A$2:$C$31,3,FALSE)-0.5,VLOOKUP(D28,Datenblatt!$A$2:$C$31,3,FALSE))))</f>
        <v/>
      </c>
      <c r="N28" s="200" t="str">
        <f t="shared" si="2"/>
        <v/>
      </c>
      <c r="O28" s="200" t="str">
        <f t="shared" si="3"/>
        <v/>
      </c>
      <c r="P28" s="175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2">
        <f t="shared" si="5"/>
        <v>0</v>
      </c>
      <c r="U28" s="105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3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3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2">
        <f t="array" ref="X28">IF(T28=0,0,IF((AND((ROW(T28)=MATCH(TRUE,($T$1:$T$43)&gt;0,0)))),IF(W28&gt;=6,W28-6,0),IF(W28&gt;=2,2,W28)))</f>
        <v>0</v>
      </c>
      <c r="Y28" s="242">
        <f t="array" ref="Y28">IF(T27=0,0,(IF((AND((ROW(T27)=MATCH(TRUE,($T$1:$T$43)&gt;0,0)))),IF(W27&gt;=6,6,W27),IF(W27&gt;=2,W27-2,0))))</f>
        <v>0</v>
      </c>
      <c r="Z28" s="102" t="str">
        <f t="shared" si="6"/>
        <v/>
      </c>
      <c r="AA28" s="203">
        <f>IF(E27="ND",IF(ISERROR(MATCH(D28,Datenblatt!$L$2:$L$18,0)),3,2),IF(E27="ND12,5",IF(ISERROR(MATCH(D28,Datenblatt!$L$2:$L$18,0)),2.5,2),0))</f>
        <v>0</v>
      </c>
      <c r="AB28" s="203">
        <f>IF((IF(E28="ND",14-IF(D28="",0,VLOOKUP(D28,Datenblatt!$L$2:$M$30,2,FALSE)),IF(E28="ND12,5",2,0)))&lt;0,0,(IF(E28="ND",14-IF(D28="",0,VLOOKUP(D28,Datenblatt!$L$2:$M$30,2,FALSE)),IF(E28="ND12,5",2,0))))</f>
        <v>0</v>
      </c>
      <c r="AC28" s="203">
        <f t="shared" si="7"/>
        <v>0</v>
      </c>
      <c r="AD28" s="203">
        <f t="shared" si="8"/>
        <v>0</v>
      </c>
      <c r="AE28" s="203">
        <f t="shared" si="9"/>
        <v>0</v>
      </c>
      <c r="AF28" s="103">
        <f t="shared" si="10"/>
        <v>0</v>
      </c>
      <c r="AG28" s="103">
        <f t="shared" si="11"/>
        <v>0</v>
      </c>
      <c r="AH28" s="103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46189</v>
      </c>
      <c r="C29" s="82">
        <f t="shared" si="4"/>
        <v>46189</v>
      </c>
      <c r="D29" s="64"/>
      <c r="E29" s="64"/>
      <c r="F29" s="65"/>
      <c r="G29" s="66"/>
      <c r="H29" s="65"/>
      <c r="I29" s="65"/>
      <c r="J29" s="91"/>
      <c r="K29" s="201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8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199" t="str">
        <f>IF(D29="","",IF(E28="ND",VLOOKUP(D29,Datenblatt!$A$2:$C$31,3,FALSE)-1,IF(E28="ND12,5",VLOOKUP(D29,Datenblatt!$A$2:$C$31,3,FALSE)-0.5,VLOOKUP(D29,Datenblatt!$A$2:$C$31,3,FALSE))))</f>
        <v/>
      </c>
      <c r="N29" s="200" t="str">
        <f t="shared" si="2"/>
        <v/>
      </c>
      <c r="O29" s="200" t="str">
        <f t="shared" si="3"/>
        <v/>
      </c>
      <c r="P29" s="175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2">
        <f t="shared" si="5"/>
        <v>0</v>
      </c>
      <c r="U29" s="105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3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3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2">
        <f t="array" ref="X29">IF(T29=0,0,IF((AND((ROW(T29)=MATCH(TRUE,($T$1:$T$43)&gt;0,0)))),IF(W29&gt;=6,W29-6,0),IF(W29&gt;=2,2,W29)))</f>
        <v>0</v>
      </c>
      <c r="Y29" s="242">
        <f t="array" ref="Y29">IF(T28=0,0,(IF((AND((ROW(T28)=MATCH(TRUE,($T$1:$T$43)&gt;0,0)))),IF(W28&gt;=6,6,W28),IF(W28&gt;=2,W28-2,0))))</f>
        <v>0</v>
      </c>
      <c r="Z29" s="102" t="str">
        <f t="shared" si="6"/>
        <v/>
      </c>
      <c r="AA29" s="203">
        <f>IF(E28="ND",IF(ISERROR(MATCH(D29,Datenblatt!$L$2:$L$18,0)),3,2),IF(E28="ND12,5",IF(ISERROR(MATCH(D29,Datenblatt!$L$2:$L$18,0)),2.5,2),0))</f>
        <v>0</v>
      </c>
      <c r="AB29" s="203">
        <f>IF((IF(E29="ND",14-IF(D29="",0,VLOOKUP(D29,Datenblatt!$L$2:$M$30,2,FALSE)),IF(E29="ND12,5",2,0)))&lt;0,0,(IF(E29="ND",14-IF(D29="",0,VLOOKUP(D29,Datenblatt!$L$2:$M$30,2,FALSE)),IF(E29="ND12,5",2,0))))</f>
        <v>0</v>
      </c>
      <c r="AC29" s="203">
        <f t="shared" si="7"/>
        <v>0</v>
      </c>
      <c r="AD29" s="203">
        <f t="shared" si="8"/>
        <v>0</v>
      </c>
      <c r="AE29" s="203">
        <f t="shared" si="9"/>
        <v>0</v>
      </c>
      <c r="AF29" s="103">
        <f t="shared" si="10"/>
        <v>0</v>
      </c>
      <c r="AG29" s="103">
        <f t="shared" si="11"/>
        <v>0</v>
      </c>
      <c r="AH29" s="103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46190</v>
      </c>
      <c r="C30" s="82">
        <f t="shared" si="4"/>
        <v>46190</v>
      </c>
      <c r="D30" s="64"/>
      <c r="E30" s="64"/>
      <c r="F30" s="65"/>
      <c r="G30" s="66"/>
      <c r="H30" s="65"/>
      <c r="I30" s="65"/>
      <c r="J30" s="91"/>
      <c r="K30" s="201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8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199" t="str">
        <f>IF(D30="","",IF(E29="ND",VLOOKUP(D30,Datenblatt!$A$2:$C$31,3,FALSE)-1,IF(E29="ND12,5",VLOOKUP(D30,Datenblatt!$A$2:$C$31,3,FALSE)-0.5,VLOOKUP(D30,Datenblatt!$A$2:$C$31,3,FALSE))))</f>
        <v/>
      </c>
      <c r="N30" s="200" t="str">
        <f t="shared" si="2"/>
        <v/>
      </c>
      <c r="O30" s="200" t="str">
        <f t="shared" si="3"/>
        <v/>
      </c>
      <c r="P30" s="175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2">
        <f t="shared" si="5"/>
        <v>0</v>
      </c>
      <c r="U30" s="105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3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3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2">
        <f t="array" ref="X30">IF(T30=0,0,IF((AND((ROW(T30)=MATCH(TRUE,($T$1:$T$43)&gt;0,0)))),IF(W30&gt;=6,W30-6,0),IF(W30&gt;=2,2,W30)))</f>
        <v>0</v>
      </c>
      <c r="Y30" s="242">
        <f t="array" ref="Y30">IF(T29=0,0,(IF((AND((ROW(T29)=MATCH(TRUE,($T$1:$T$43)&gt;0,0)))),IF(W29&gt;=6,6,W29),IF(W29&gt;=2,W29-2,0))))</f>
        <v>0</v>
      </c>
      <c r="Z30" s="102" t="str">
        <f t="shared" si="6"/>
        <v/>
      </c>
      <c r="AA30" s="203">
        <f>IF(E29="ND",IF(ISERROR(MATCH(D30,Datenblatt!$L$2:$L$18,0)),3,2),IF(E29="ND12,5",IF(ISERROR(MATCH(D30,Datenblatt!$L$2:$L$18,0)),2.5,2),0))</f>
        <v>0</v>
      </c>
      <c r="AB30" s="203">
        <f>IF((IF(E30="ND",14-IF(D30="",0,VLOOKUP(D30,Datenblatt!$L$2:$M$30,2,FALSE)),IF(E30="ND12,5",2,0)))&lt;0,0,(IF(E30="ND",14-IF(D30="",0,VLOOKUP(D30,Datenblatt!$L$2:$M$30,2,FALSE)),IF(E30="ND12,5",2,0))))</f>
        <v>0</v>
      </c>
      <c r="AC30" s="203">
        <f t="shared" si="7"/>
        <v>0</v>
      </c>
      <c r="AD30" s="203">
        <f t="shared" si="8"/>
        <v>0</v>
      </c>
      <c r="AE30" s="203">
        <f t="shared" si="9"/>
        <v>0</v>
      </c>
      <c r="AF30" s="103">
        <f t="shared" si="10"/>
        <v>0</v>
      </c>
      <c r="AG30" s="103">
        <f t="shared" si="11"/>
        <v>0</v>
      </c>
      <c r="AH30" s="103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46191</v>
      </c>
      <c r="C31" s="82">
        <f t="shared" si="4"/>
        <v>46191</v>
      </c>
      <c r="D31" s="64"/>
      <c r="E31" s="64"/>
      <c r="F31" s="65"/>
      <c r="G31" s="66"/>
      <c r="H31" s="65"/>
      <c r="I31" s="65"/>
      <c r="J31" s="91"/>
      <c r="K31" s="201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8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199" t="str">
        <f>IF(D31="","",IF(E30="ND",VLOOKUP(D31,Datenblatt!$A$2:$C$31,3,FALSE)-1,IF(E30="ND12,5",VLOOKUP(D31,Datenblatt!$A$2:$C$31,3,FALSE)-0.5,VLOOKUP(D31,Datenblatt!$A$2:$C$31,3,FALSE))))</f>
        <v/>
      </c>
      <c r="N31" s="200" t="str">
        <f t="shared" si="2"/>
        <v/>
      </c>
      <c r="O31" s="200" t="str">
        <f t="shared" si="3"/>
        <v/>
      </c>
      <c r="P31" s="175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2">
        <f t="shared" si="5"/>
        <v>0</v>
      </c>
      <c r="U31" s="105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3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3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2">
        <f t="array" ref="X31">IF(T31=0,0,IF((AND((ROW(T31)=MATCH(TRUE,($T$1:$T$43)&gt;0,0)))),IF(W31&gt;=6,W31-6,0),IF(W31&gt;=2,2,W31)))</f>
        <v>0</v>
      </c>
      <c r="Y31" s="242">
        <f t="array" ref="Y31">IF(T30=0,0,(IF((AND((ROW(T30)=MATCH(TRUE,($T$1:$T$43)&gt;0,0)))),IF(W30&gt;=6,6,W30),IF(W30&gt;=2,W30-2,0))))</f>
        <v>0</v>
      </c>
      <c r="Z31" s="102" t="str">
        <f t="shared" si="6"/>
        <v/>
      </c>
      <c r="AA31" s="203">
        <f>IF(E30="ND",IF(ISERROR(MATCH(D31,Datenblatt!$L$2:$L$18,0)),3,2),IF(E30="ND12,5",IF(ISERROR(MATCH(D31,Datenblatt!$L$2:$L$18,0)),2.5,2),0))</f>
        <v>0</v>
      </c>
      <c r="AB31" s="203">
        <f>IF((IF(E31="ND",14-IF(D31="",0,VLOOKUP(D31,Datenblatt!$L$2:$M$30,2,FALSE)),IF(E31="ND12,5",2,0)))&lt;0,0,(IF(E31="ND",14-IF(D31="",0,VLOOKUP(D31,Datenblatt!$L$2:$M$30,2,FALSE)),IF(E31="ND12,5",2,0))))</f>
        <v>0</v>
      </c>
      <c r="AC31" s="203">
        <f t="shared" si="7"/>
        <v>0</v>
      </c>
      <c r="AD31" s="203">
        <f t="shared" si="8"/>
        <v>0</v>
      </c>
      <c r="AE31" s="203">
        <f t="shared" si="9"/>
        <v>0</v>
      </c>
      <c r="AF31" s="103">
        <f t="shared" si="10"/>
        <v>0</v>
      </c>
      <c r="AG31" s="103">
        <f t="shared" si="11"/>
        <v>0</v>
      </c>
      <c r="AH31" s="103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46192</v>
      </c>
      <c r="C32" s="82">
        <f t="shared" si="4"/>
        <v>46192</v>
      </c>
      <c r="D32" s="64"/>
      <c r="E32" s="64"/>
      <c r="F32" s="65"/>
      <c r="G32" s="66"/>
      <c r="H32" s="65"/>
      <c r="I32" s="65"/>
      <c r="J32" s="91"/>
      <c r="K32" s="201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8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199" t="str">
        <f>IF(D32="","",IF(E31="ND",VLOOKUP(D32,Datenblatt!$A$2:$C$31,3,FALSE)-1,IF(E31="ND12,5",VLOOKUP(D32,Datenblatt!$A$2:$C$31,3,FALSE)-0.5,VLOOKUP(D32,Datenblatt!$A$2:$C$31,3,FALSE))))</f>
        <v/>
      </c>
      <c r="N32" s="200" t="str">
        <f t="shared" si="2"/>
        <v/>
      </c>
      <c r="O32" s="200" t="str">
        <f t="shared" si="3"/>
        <v/>
      </c>
      <c r="P32" s="175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2">
        <f t="shared" si="5"/>
        <v>0</v>
      </c>
      <c r="U32" s="105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3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3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2">
        <f t="array" ref="X32">IF(T32=0,0,IF((AND((ROW(T32)=MATCH(TRUE,($T$1:$T$43)&gt;0,0)))),IF(W32&gt;=6,W32-6,0),IF(W32&gt;=2,2,W32)))</f>
        <v>0</v>
      </c>
      <c r="Y32" s="242">
        <f t="array" ref="Y32">IF(T31=0,0,(IF((AND((ROW(T31)=MATCH(TRUE,($T$1:$T$43)&gt;0,0)))),IF(W31&gt;=6,6,W31),IF(W31&gt;=2,W31-2,0))))</f>
        <v>0</v>
      </c>
      <c r="Z32" s="102" t="str">
        <f t="shared" si="6"/>
        <v/>
      </c>
      <c r="AA32" s="203">
        <f>IF(E31="ND",IF(ISERROR(MATCH(D32,Datenblatt!$L$2:$L$18,0)),3,2),IF(E31="ND12,5",IF(ISERROR(MATCH(D32,Datenblatt!$L$2:$L$18,0)),2.5,2),0))</f>
        <v>0</v>
      </c>
      <c r="AB32" s="203">
        <f>IF((IF(E32="ND",14-IF(D32="",0,VLOOKUP(D32,Datenblatt!$L$2:$M$30,2,FALSE)),IF(E32="ND12,5",2,0)))&lt;0,0,(IF(E32="ND",14-IF(D32="",0,VLOOKUP(D32,Datenblatt!$L$2:$M$30,2,FALSE)),IF(E32="ND12,5",2,0))))</f>
        <v>0</v>
      </c>
      <c r="AC32" s="203">
        <f t="shared" si="7"/>
        <v>0</v>
      </c>
      <c r="AD32" s="203">
        <f t="shared" si="8"/>
        <v>0</v>
      </c>
      <c r="AE32" s="203">
        <f t="shared" si="9"/>
        <v>0</v>
      </c>
      <c r="AF32" s="103">
        <f t="shared" si="10"/>
        <v>0</v>
      </c>
      <c r="AG32" s="103">
        <f t="shared" si="11"/>
        <v>0</v>
      </c>
      <c r="AH32" s="103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46193</v>
      </c>
      <c r="C33" s="82">
        <f t="shared" si="4"/>
        <v>46193</v>
      </c>
      <c r="D33" s="64"/>
      <c r="E33" s="64"/>
      <c r="F33" s="65"/>
      <c r="G33" s="66"/>
      <c r="H33" s="65"/>
      <c r="I33" s="65"/>
      <c r="J33" s="91"/>
      <c r="K33" s="201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8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199" t="str">
        <f>IF(D33="","",IF(E32="ND",VLOOKUP(D33,Datenblatt!$A$2:$C$31,3,FALSE)-1,IF(E32="ND12,5",VLOOKUP(D33,Datenblatt!$A$2:$C$31,3,FALSE)-0.5,VLOOKUP(D33,Datenblatt!$A$2:$C$31,3,FALSE))))</f>
        <v/>
      </c>
      <c r="N33" s="200" t="str">
        <f t="shared" si="2"/>
        <v/>
      </c>
      <c r="O33" s="200" t="str">
        <f t="shared" si="3"/>
        <v/>
      </c>
      <c r="P33" s="175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2">
        <f t="shared" si="5"/>
        <v>0</v>
      </c>
      <c r="U33" s="105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3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3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2">
        <f t="array" ref="X33">IF(T33=0,0,IF((AND((ROW(T33)=MATCH(TRUE,($T$1:$T$43)&gt;0,0)))),IF(W33&gt;=6,W33-6,0),IF(W33&gt;=2,2,W33)))</f>
        <v>0</v>
      </c>
      <c r="Y33" s="242">
        <f t="array" ref="Y33">IF(T32=0,0,(IF((AND((ROW(T32)=MATCH(TRUE,($T$1:$T$43)&gt;0,0)))),IF(W32&gt;=6,6,W32),IF(W32&gt;=2,W32-2,0))))</f>
        <v>0</v>
      </c>
      <c r="Z33" s="102" t="str">
        <f t="shared" si="6"/>
        <v/>
      </c>
      <c r="AA33" s="203">
        <f>IF(E32="ND",IF(ISERROR(MATCH(D33,Datenblatt!$L$2:$L$18,0)),3,2),IF(E32="ND12,5",IF(ISERROR(MATCH(D33,Datenblatt!$L$2:$L$18,0)),2.5,2),0))</f>
        <v>0</v>
      </c>
      <c r="AB33" s="203">
        <f>IF((IF(E33="ND",14-IF(D33="",0,VLOOKUP(D33,Datenblatt!$L$2:$M$30,2,FALSE)),IF(E33="ND12,5",2,0)))&lt;0,0,(IF(E33="ND",14-IF(D33="",0,VLOOKUP(D33,Datenblatt!$L$2:$M$30,2,FALSE)),IF(E33="ND12,5",2,0))))</f>
        <v>0</v>
      </c>
      <c r="AC33" s="203">
        <f t="shared" si="7"/>
        <v>0</v>
      </c>
      <c r="AD33" s="203">
        <f t="shared" si="8"/>
        <v>0</v>
      </c>
      <c r="AE33" s="203">
        <f t="shared" si="9"/>
        <v>0</v>
      </c>
      <c r="AF33" s="103">
        <f t="shared" si="10"/>
        <v>0</v>
      </c>
      <c r="AG33" s="103">
        <f t="shared" si="11"/>
        <v>0</v>
      </c>
      <c r="AH33" s="103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46194</v>
      </c>
      <c r="C34" s="82">
        <f t="shared" si="4"/>
        <v>46194</v>
      </c>
      <c r="D34" s="64"/>
      <c r="E34" s="64"/>
      <c r="F34" s="65"/>
      <c r="G34" s="66"/>
      <c r="H34" s="65"/>
      <c r="I34" s="65"/>
      <c r="J34" s="91"/>
      <c r="K34" s="201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8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199" t="str">
        <f>IF(D34="","",IF(E33="ND",VLOOKUP(D34,Datenblatt!$A$2:$C$31,3,FALSE)-1,IF(E33="ND12,5",VLOOKUP(D34,Datenblatt!$A$2:$C$31,3,FALSE)-0.5,VLOOKUP(D34,Datenblatt!$A$2:$C$31,3,FALSE))))</f>
        <v/>
      </c>
      <c r="N34" s="200" t="str">
        <f t="shared" si="2"/>
        <v/>
      </c>
      <c r="O34" s="200">
        <f t="shared" si="3"/>
        <v>0</v>
      </c>
      <c r="P34" s="175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2">
        <f t="shared" si="5"/>
        <v>0</v>
      </c>
      <c r="U34" s="105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3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3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2">
        <f t="array" ref="X34">IF(T34=0,0,IF((AND((ROW(T34)=MATCH(TRUE,($T$1:$T$43)&gt;0,0)))),IF(W34&gt;=6,W34-6,0),IF(W34&gt;=2,2,W34)))</f>
        <v>0</v>
      </c>
      <c r="Y34" s="242">
        <f t="array" ref="Y34">IF(T33=0,0,(IF((AND((ROW(T33)=MATCH(TRUE,($T$1:$T$43)&gt;0,0)))),IF(W33&gt;=6,6,W33),IF(W33&gt;=2,W33-2,0))))</f>
        <v>0</v>
      </c>
      <c r="Z34" s="102" t="str">
        <f t="shared" si="6"/>
        <v/>
      </c>
      <c r="AA34" s="203">
        <f>IF(E33="ND",IF(ISERROR(MATCH(D34,Datenblatt!$L$2:$L$18,0)),3,2),IF(E33="ND12,5",IF(ISERROR(MATCH(D34,Datenblatt!$L$2:$L$18,0)),2.5,2),0))</f>
        <v>0</v>
      </c>
      <c r="AB34" s="203">
        <f>IF((IF(E34="ND",14-IF(D34="",0,VLOOKUP(D34,Datenblatt!$L$2:$M$30,2,FALSE)),IF(E34="ND12,5",2,0)))&lt;0,0,(IF(E34="ND",14-IF(D34="",0,VLOOKUP(D34,Datenblatt!$L$2:$M$30,2,FALSE)),IF(E34="ND12,5",2,0))))</f>
        <v>0</v>
      </c>
      <c r="AC34" s="203">
        <f t="shared" si="7"/>
        <v>0</v>
      </c>
      <c r="AD34" s="203">
        <f t="shared" si="8"/>
        <v>0</v>
      </c>
      <c r="AE34" s="203">
        <f t="shared" si="9"/>
        <v>0</v>
      </c>
      <c r="AF34" s="103">
        <f t="shared" si="10"/>
        <v>0</v>
      </c>
      <c r="AG34" s="103">
        <f t="shared" si="11"/>
        <v>0</v>
      </c>
      <c r="AH34" s="103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46195</v>
      </c>
      <c r="C35" s="82">
        <f t="shared" si="4"/>
        <v>46195</v>
      </c>
      <c r="D35" s="64"/>
      <c r="E35" s="64"/>
      <c r="F35" s="65"/>
      <c r="G35" s="66"/>
      <c r="H35" s="65"/>
      <c r="I35" s="65"/>
      <c r="J35" s="91"/>
      <c r="K35" s="201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8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199" t="str">
        <f>IF(D35="","",IF(E34="ND",VLOOKUP(D35,Datenblatt!$A$2:$C$31,3,FALSE)-1,IF(E34="ND12,5",VLOOKUP(D35,Datenblatt!$A$2:$C$31,3,FALSE)-0.5,VLOOKUP(D35,Datenblatt!$A$2:$C$31,3,FALSE))))</f>
        <v/>
      </c>
      <c r="N35" s="200" t="str">
        <f t="shared" si="2"/>
        <v/>
      </c>
      <c r="O35" s="200" t="str">
        <f t="shared" si="3"/>
        <v/>
      </c>
      <c r="P35" s="175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2">
        <f t="shared" si="5"/>
        <v>0</v>
      </c>
      <c r="U35" s="105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3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3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2">
        <f t="array" ref="X35">IF(T35=0,0,IF((AND((ROW(T35)=MATCH(TRUE,($T$1:$T$43)&gt;0,0)))),IF(W35&gt;=6,W35-6,0),IF(W35&gt;=2,2,W35)))</f>
        <v>0</v>
      </c>
      <c r="Y35" s="242">
        <f t="array" ref="Y35">IF(T34=0,0,(IF((AND((ROW(T34)=MATCH(TRUE,($T$1:$T$43)&gt;0,0)))),IF(W34&gt;=6,6,W34),IF(W34&gt;=2,W34-2,0))))</f>
        <v>0</v>
      </c>
      <c r="Z35" s="102" t="str">
        <f t="shared" si="6"/>
        <v/>
      </c>
      <c r="AA35" s="203">
        <f>IF(E34="ND",IF(ISERROR(MATCH(D35,Datenblatt!$L$2:$L$18,0)),3,2),IF(E34="ND12,5",IF(ISERROR(MATCH(D35,Datenblatt!$L$2:$L$18,0)),2.5,2),0))</f>
        <v>0</v>
      </c>
      <c r="AB35" s="203">
        <f>IF((IF(E35="ND",14-IF(D35="",0,VLOOKUP(D35,Datenblatt!$L$2:$M$30,2,FALSE)),IF(E35="ND12,5",2,0)))&lt;0,0,(IF(E35="ND",14-IF(D35="",0,VLOOKUP(D35,Datenblatt!$L$2:$M$30,2,FALSE)),IF(E35="ND12,5",2,0))))</f>
        <v>0</v>
      </c>
      <c r="AC35" s="203">
        <f t="shared" si="7"/>
        <v>0</v>
      </c>
      <c r="AD35" s="203">
        <f t="shared" si="8"/>
        <v>0</v>
      </c>
      <c r="AE35" s="203">
        <f t="shared" si="9"/>
        <v>0</v>
      </c>
      <c r="AF35" s="103">
        <f t="shared" si="10"/>
        <v>0</v>
      </c>
      <c r="AG35" s="103">
        <f t="shared" si="11"/>
        <v>0</v>
      </c>
      <c r="AH35" s="103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46196</v>
      </c>
      <c r="C36" s="82">
        <f t="shared" si="4"/>
        <v>46196</v>
      </c>
      <c r="D36" s="64"/>
      <c r="E36" s="64"/>
      <c r="F36" s="65"/>
      <c r="G36" s="66"/>
      <c r="H36" s="65"/>
      <c r="I36" s="65"/>
      <c r="J36" s="91"/>
      <c r="K36" s="201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8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199" t="str">
        <f>IF(D36="","",IF(E35="ND",VLOOKUP(D36,Datenblatt!$A$2:$C$31,3,FALSE)-1,IF(E35="ND12,5",VLOOKUP(D36,Datenblatt!$A$2:$C$31,3,FALSE)-0.5,VLOOKUP(D36,Datenblatt!$A$2:$C$31,3,FALSE))))</f>
        <v/>
      </c>
      <c r="N36" s="200" t="str">
        <f t="shared" si="2"/>
        <v/>
      </c>
      <c r="O36" s="200" t="str">
        <f t="shared" si="3"/>
        <v/>
      </c>
      <c r="P36" s="175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2">
        <f t="shared" si="5"/>
        <v>0</v>
      </c>
      <c r="U36" s="105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3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3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2">
        <f t="array" ref="X36">IF(T36=0,0,IF((AND((ROW(T36)=MATCH(TRUE,($T$1:$T$43)&gt;0,0)))),IF(W36&gt;=6,W36-6,0),IF(W36&gt;=2,2,W36)))</f>
        <v>0</v>
      </c>
      <c r="Y36" s="242">
        <f t="array" ref="Y36">IF(T35=0,0,(IF((AND((ROW(T35)=MATCH(TRUE,($T$1:$T$43)&gt;0,0)))),IF(W35&gt;=6,6,W35),IF(W35&gt;=2,W35-2,0))))</f>
        <v>0</v>
      </c>
      <c r="Z36" s="102" t="str">
        <f t="shared" si="6"/>
        <v/>
      </c>
      <c r="AA36" s="203">
        <f>IF(E35="ND",IF(ISERROR(MATCH(D36,Datenblatt!$L$2:$L$18,0)),3,2),IF(E35="ND12,5",IF(ISERROR(MATCH(D36,Datenblatt!$L$2:$L$18,0)),2.5,2),0))</f>
        <v>0</v>
      </c>
      <c r="AB36" s="203">
        <f>IF((IF(E36="ND",14-IF(D36="",0,VLOOKUP(D36,Datenblatt!$L$2:$M$30,2,FALSE)),IF(E36="ND12,5",2,0)))&lt;0,0,(IF(E36="ND",14-IF(D36="",0,VLOOKUP(D36,Datenblatt!$L$2:$M$30,2,FALSE)),IF(E36="ND12,5",2,0))))</f>
        <v>0</v>
      </c>
      <c r="AC36" s="203">
        <f t="shared" si="7"/>
        <v>0</v>
      </c>
      <c r="AD36" s="203">
        <f t="shared" si="8"/>
        <v>0</v>
      </c>
      <c r="AE36" s="203">
        <f t="shared" si="9"/>
        <v>0</v>
      </c>
      <c r="AF36" s="103">
        <f t="shared" si="10"/>
        <v>0</v>
      </c>
      <c r="AG36" s="103">
        <f t="shared" si="11"/>
        <v>0</v>
      </c>
      <c r="AH36" s="103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46197</v>
      </c>
      <c r="C37" s="82">
        <f t="shared" si="4"/>
        <v>46197</v>
      </c>
      <c r="D37" s="64"/>
      <c r="E37" s="64"/>
      <c r="F37" s="65"/>
      <c r="G37" s="66"/>
      <c r="H37" s="65"/>
      <c r="I37" s="65"/>
      <c r="J37" s="91"/>
      <c r="K37" s="201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8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199" t="str">
        <f>IF(D37="","",IF(E36="ND",VLOOKUP(D37,Datenblatt!$A$2:$C$31,3,FALSE)-1,IF(E36="ND12,5",VLOOKUP(D37,Datenblatt!$A$2:$C$31,3,FALSE)-0.5,VLOOKUP(D37,Datenblatt!$A$2:$C$31,3,FALSE))))</f>
        <v/>
      </c>
      <c r="N37" s="200" t="str">
        <f t="shared" si="2"/>
        <v/>
      </c>
      <c r="O37" s="200" t="str">
        <f t="shared" si="3"/>
        <v/>
      </c>
      <c r="P37" s="175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2">
        <f t="shared" si="5"/>
        <v>0</v>
      </c>
      <c r="U37" s="105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3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3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2">
        <f t="array" ref="X37">IF(T37=0,0,IF((AND((ROW(T37)=MATCH(TRUE,($T$1:$T$43)&gt;0,0)))),IF(W37&gt;=6,W37-6,0),IF(W37&gt;=2,2,W37)))</f>
        <v>0</v>
      </c>
      <c r="Y37" s="242">
        <f t="array" ref="Y37">IF(T36=0,0,(IF((AND((ROW(T36)=MATCH(TRUE,($T$1:$T$43)&gt;0,0)))),IF(W36&gt;=6,6,W36),IF(W36&gt;=2,W36-2,0))))</f>
        <v>0</v>
      </c>
      <c r="Z37" s="102" t="str">
        <f t="shared" si="6"/>
        <v/>
      </c>
      <c r="AA37" s="203">
        <f>IF(E36="ND",IF(ISERROR(MATCH(D37,Datenblatt!$L$2:$L$18,0)),3,2),IF(E36="ND12,5",IF(ISERROR(MATCH(D37,Datenblatt!$L$2:$L$18,0)),2.5,2),0))</f>
        <v>0</v>
      </c>
      <c r="AB37" s="203">
        <f>IF((IF(E37="ND",14-IF(D37="",0,VLOOKUP(D37,Datenblatt!$L$2:$M$30,2,FALSE)),IF(E37="ND12,5",2,0)))&lt;0,0,(IF(E37="ND",14-IF(D37="",0,VLOOKUP(D37,Datenblatt!$L$2:$M$30,2,FALSE)),IF(E37="ND12,5",2,0))))</f>
        <v>0</v>
      </c>
      <c r="AC37" s="203">
        <f t="shared" si="7"/>
        <v>0</v>
      </c>
      <c r="AD37" s="203">
        <f t="shared" si="8"/>
        <v>0</v>
      </c>
      <c r="AE37" s="203">
        <f t="shared" si="9"/>
        <v>0</v>
      </c>
      <c r="AF37" s="103">
        <f t="shared" si="10"/>
        <v>0</v>
      </c>
      <c r="AG37" s="103">
        <f t="shared" si="11"/>
        <v>0</v>
      </c>
      <c r="AH37" s="103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46198</v>
      </c>
      <c r="C38" s="82">
        <f t="shared" si="4"/>
        <v>46198</v>
      </c>
      <c r="D38" s="64"/>
      <c r="E38" s="64"/>
      <c r="F38" s="65"/>
      <c r="G38" s="66"/>
      <c r="H38" s="65"/>
      <c r="I38" s="65"/>
      <c r="J38" s="91"/>
      <c r="K38" s="201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8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199" t="str">
        <f>IF(D38="","",IF(E37="ND",VLOOKUP(D38,Datenblatt!$A$2:$C$31,3,FALSE)-1,IF(E37="ND12,5",VLOOKUP(D38,Datenblatt!$A$2:$C$31,3,FALSE)-0.5,VLOOKUP(D38,Datenblatt!$A$2:$C$31,3,FALSE))))</f>
        <v/>
      </c>
      <c r="N38" s="200" t="str">
        <f t="shared" si="2"/>
        <v/>
      </c>
      <c r="O38" s="200" t="str">
        <f t="shared" si="3"/>
        <v/>
      </c>
      <c r="P38" s="175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2">
        <f t="shared" si="5"/>
        <v>0</v>
      </c>
      <c r="U38" s="105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3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3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2">
        <f t="array" ref="X38">IF(T38=0,0,IF((AND((ROW(T38)=MATCH(TRUE,($T$1:$T$43)&gt;0,0)))),IF(W38&gt;=6,W38-6,0),IF(W38&gt;=2,2,W38)))</f>
        <v>0</v>
      </c>
      <c r="Y38" s="242">
        <f t="array" ref="Y38">IF(T37=0,0,(IF((AND((ROW(T37)=MATCH(TRUE,($T$1:$T$43)&gt;0,0)))),IF(W37&gt;=6,6,W37),IF(W37&gt;=2,W37-2,0))))</f>
        <v>0</v>
      </c>
      <c r="Z38" s="102" t="str">
        <f t="shared" si="6"/>
        <v/>
      </c>
      <c r="AA38" s="203">
        <f>IF(E37="ND",IF(ISERROR(MATCH(D38,Datenblatt!$L$2:$L$18,0)),3,2),IF(E37="ND12,5",IF(ISERROR(MATCH(D38,Datenblatt!$L$2:$L$18,0)),2.5,2),0))</f>
        <v>0</v>
      </c>
      <c r="AB38" s="203">
        <f>IF((IF(E38="ND",14-IF(D38="",0,VLOOKUP(D38,Datenblatt!$L$2:$M$30,2,FALSE)),IF(E38="ND12,5",2,0)))&lt;0,0,(IF(E38="ND",14-IF(D38="",0,VLOOKUP(D38,Datenblatt!$L$2:$M$30,2,FALSE)),IF(E38="ND12,5",2,0))))</f>
        <v>0</v>
      </c>
      <c r="AC38" s="203">
        <f t="shared" si="7"/>
        <v>0</v>
      </c>
      <c r="AD38" s="203">
        <f t="shared" si="8"/>
        <v>0</v>
      </c>
      <c r="AE38" s="203">
        <f t="shared" si="9"/>
        <v>0</v>
      </c>
      <c r="AF38" s="103">
        <f t="shared" si="10"/>
        <v>0</v>
      </c>
      <c r="AG38" s="103">
        <f t="shared" si="11"/>
        <v>0</v>
      </c>
      <c r="AH38" s="103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46199</v>
      </c>
      <c r="C39" s="82">
        <f t="shared" si="4"/>
        <v>46199</v>
      </c>
      <c r="D39" s="64"/>
      <c r="E39" s="64"/>
      <c r="F39" s="65"/>
      <c r="G39" s="66"/>
      <c r="H39" s="65"/>
      <c r="I39" s="65"/>
      <c r="J39" s="91"/>
      <c r="K39" s="201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8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199" t="str">
        <f>IF(D39="","",IF(E38="ND",VLOOKUP(D39,Datenblatt!$A$2:$C$31,3,FALSE)-1,IF(E38="ND12,5",VLOOKUP(D39,Datenblatt!$A$2:$C$31,3,FALSE)-0.5,VLOOKUP(D39,Datenblatt!$A$2:$C$31,3,FALSE))))</f>
        <v/>
      </c>
      <c r="N39" s="200" t="str">
        <f t="shared" si="2"/>
        <v/>
      </c>
      <c r="O39" s="200" t="str">
        <f t="shared" si="3"/>
        <v/>
      </c>
      <c r="P39" s="175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2">
        <f t="shared" si="5"/>
        <v>0</v>
      </c>
      <c r="U39" s="105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3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3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2">
        <f t="array" ref="X39">IF(T39=0,0,IF((AND((ROW(T39)=MATCH(TRUE,($T$1:$T$43)&gt;0,0)))),IF(W39&gt;=6,W39-6,0),IF(W39&gt;=2,2,W39)))</f>
        <v>0</v>
      </c>
      <c r="Y39" s="242">
        <f t="array" ref="Y39">IF(T38=0,0,(IF((AND((ROW(T38)=MATCH(TRUE,($T$1:$T$43)&gt;0,0)))),IF(W38&gt;=6,6,W38),IF(W38&gt;=2,W38-2,0))))</f>
        <v>0</v>
      </c>
      <c r="Z39" s="102" t="str">
        <f t="shared" si="6"/>
        <v/>
      </c>
      <c r="AA39" s="203">
        <f>IF(E38="ND",IF(ISERROR(MATCH(D39,Datenblatt!$L$2:$L$18,0)),3,2),IF(E38="ND12,5",IF(ISERROR(MATCH(D39,Datenblatt!$L$2:$L$18,0)),2.5,2),0))</f>
        <v>0</v>
      </c>
      <c r="AB39" s="203">
        <f>IF((IF(E39="ND",14-IF(D39="",0,VLOOKUP(D39,Datenblatt!$L$2:$M$30,2,FALSE)),IF(E39="ND12,5",2,0)))&lt;0,0,(IF(E39="ND",14-IF(D39="",0,VLOOKUP(D39,Datenblatt!$L$2:$M$30,2,FALSE)),IF(E39="ND12,5",2,0))))</f>
        <v>0</v>
      </c>
      <c r="AC39" s="203">
        <f t="shared" si="7"/>
        <v>0</v>
      </c>
      <c r="AD39" s="203">
        <f t="shared" si="8"/>
        <v>0</v>
      </c>
      <c r="AE39" s="203">
        <f t="shared" si="9"/>
        <v>0</v>
      </c>
      <c r="AF39" s="103">
        <f t="shared" si="10"/>
        <v>0</v>
      </c>
      <c r="AG39" s="103">
        <f t="shared" si="11"/>
        <v>0</v>
      </c>
      <c r="AH39" s="103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46200</v>
      </c>
      <c r="C40" s="82">
        <f t="shared" si="4"/>
        <v>46200</v>
      </c>
      <c r="D40" s="64"/>
      <c r="E40" s="64"/>
      <c r="F40" s="65"/>
      <c r="G40" s="66"/>
      <c r="H40" s="65"/>
      <c r="I40" s="65"/>
      <c r="J40" s="91"/>
      <c r="K40" s="201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8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199" t="str">
        <f>IF(D40="","",IF(E39="ND",VLOOKUP(D40,Datenblatt!$A$2:$C$31,3,FALSE)-1,IF(E39="ND12,5",VLOOKUP(D40,Datenblatt!$A$2:$C$31,3,FALSE)-0.5,VLOOKUP(D40,Datenblatt!$A$2:$C$31,3,FALSE))))</f>
        <v/>
      </c>
      <c r="N40" s="200" t="str">
        <f t="shared" si="2"/>
        <v/>
      </c>
      <c r="O40" s="200" t="str">
        <f t="shared" si="3"/>
        <v/>
      </c>
      <c r="P40" s="175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2">
        <f t="shared" si="5"/>
        <v>0</v>
      </c>
      <c r="U40" s="105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3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3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2">
        <f t="array" ref="X40">IF(T40=0,0,IF((AND((ROW(T40)=MATCH(TRUE,($T$1:$T$43)&gt;0,0)))),IF(W40&gt;=6,W40-6,0),IF(W40&gt;=2,2,W40)))</f>
        <v>0</v>
      </c>
      <c r="Y40" s="242">
        <f t="array" ref="Y40">IF(T39=0,0,(IF((AND((ROW(T39)=MATCH(TRUE,($T$1:$T$43)&gt;0,0)))),IF(W39&gt;=6,6,W39),IF(W39&gt;=2,W39-2,0))))</f>
        <v>0</v>
      </c>
      <c r="Z40" s="102" t="str">
        <f t="shared" si="6"/>
        <v/>
      </c>
      <c r="AA40" s="203">
        <f>IF(E39="ND",IF(ISERROR(MATCH(D40,Datenblatt!$L$2:$L$18,0)),3,2),IF(E39="ND12,5",IF(ISERROR(MATCH(D40,Datenblatt!$L$2:$L$18,0)),2.5,2),0))</f>
        <v>0</v>
      </c>
      <c r="AB40" s="203">
        <f>IF((IF(E40="ND",14-IF(D40="",0,VLOOKUP(D40,Datenblatt!$L$2:$M$30,2,FALSE)),IF(E40="ND12,5",2,0)))&lt;0,0,(IF(E40="ND",14-IF(D40="",0,VLOOKUP(D40,Datenblatt!$L$2:$M$30,2,FALSE)),IF(E40="ND12,5",2,0))))</f>
        <v>0</v>
      </c>
      <c r="AC40" s="203">
        <f t="shared" si="7"/>
        <v>0</v>
      </c>
      <c r="AD40" s="203">
        <f t="shared" si="8"/>
        <v>0</v>
      </c>
      <c r="AE40" s="203">
        <f t="shared" si="9"/>
        <v>0</v>
      </c>
      <c r="AF40" s="103">
        <f t="shared" si="10"/>
        <v>0</v>
      </c>
      <c r="AG40" s="103">
        <f t="shared" si="11"/>
        <v>0</v>
      </c>
      <c r="AH40" s="103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46201</v>
      </c>
      <c r="C41" s="82">
        <f t="shared" si="4"/>
        <v>46201</v>
      </c>
      <c r="D41" s="64"/>
      <c r="E41" s="64"/>
      <c r="F41" s="65"/>
      <c r="G41" s="66"/>
      <c r="H41" s="65"/>
      <c r="I41" s="65"/>
      <c r="J41" s="91"/>
      <c r="K41" s="201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8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199" t="str">
        <f>IF(D41="","",IF(E40="ND",VLOOKUP(D41,Datenblatt!$A$2:$C$31,3,FALSE)-1,IF(E40="ND12,5",VLOOKUP(D41,Datenblatt!$A$2:$C$31,3,FALSE)-0.5,VLOOKUP(D41,Datenblatt!$A$2:$C$31,3,FALSE))))</f>
        <v/>
      </c>
      <c r="N41" s="200" t="str">
        <f t="shared" si="2"/>
        <v/>
      </c>
      <c r="O41" s="200">
        <f t="shared" si="3"/>
        <v>0</v>
      </c>
      <c r="P41" s="175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2">
        <f t="shared" si="5"/>
        <v>0</v>
      </c>
      <c r="U41" s="105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3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3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2">
        <f t="array" ref="X41">IF(T41=0,0,IF((AND((ROW(T41)=MATCH(TRUE,($T$1:$T$43)&gt;0,0)))),IF(W41&gt;=6,W41-6,0),IF(W41&gt;=2,2,W41)))</f>
        <v>0</v>
      </c>
      <c r="Y41" s="242">
        <f t="array" ref="Y41">IF(T40=0,0,(IF((AND((ROW(T40)=MATCH(TRUE,($T$1:$T$43)&gt;0,0)))),IF(W40&gt;=6,6,W40),IF(W40&gt;=2,W40-2,0))))</f>
        <v>0</v>
      </c>
      <c r="Z41" s="102" t="str">
        <f t="shared" si="6"/>
        <v/>
      </c>
      <c r="AA41" s="203">
        <f>IF(E40="ND",IF(ISERROR(MATCH(D41,Datenblatt!$L$2:$L$18,0)),3,2),IF(E40="ND12,5",IF(ISERROR(MATCH(D41,Datenblatt!$L$2:$L$18,0)),2.5,2),0))</f>
        <v>0</v>
      </c>
      <c r="AB41" s="203">
        <f>IF((IF(E41="ND",14-IF(D41="",0,VLOOKUP(D41,Datenblatt!$L$2:$M$30,2,FALSE)),IF(E41="ND12,5",2,0)))&lt;0,0,(IF(E41="ND",14-IF(D41="",0,VLOOKUP(D41,Datenblatt!$L$2:$M$30,2,FALSE)),IF(E41="ND12,5",2,0))))</f>
        <v>0</v>
      </c>
      <c r="AC41" s="203">
        <f t="shared" si="7"/>
        <v>0</v>
      </c>
      <c r="AD41" s="203">
        <f t="shared" si="8"/>
        <v>0</v>
      </c>
      <c r="AE41" s="203">
        <f t="shared" si="9"/>
        <v>0</v>
      </c>
      <c r="AF41" s="103">
        <f t="shared" si="10"/>
        <v>0</v>
      </c>
      <c r="AG41" s="103">
        <f t="shared" si="11"/>
        <v>0</v>
      </c>
      <c r="AH41" s="103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46202</v>
      </c>
      <c r="C42" s="83">
        <f>C41+1</f>
        <v>46202</v>
      </c>
      <c r="D42" s="64"/>
      <c r="E42" s="64"/>
      <c r="F42" s="65"/>
      <c r="G42" s="66"/>
      <c r="H42" s="65"/>
      <c r="I42" s="65"/>
      <c r="J42" s="91"/>
      <c r="K42" s="201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8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199" t="str">
        <f>IF(D42="","",IF(E41="ND",VLOOKUP(D42,Datenblatt!$A$2:$C$31,3,FALSE)-1,IF(E41="ND12,5",VLOOKUP(D42,Datenblatt!$A$2:$C$31,3,FALSE)-0.5,VLOOKUP(D42,Datenblatt!$A$2:$C$31,3,FALSE))))</f>
        <v/>
      </c>
      <c r="N42" s="200" t="str">
        <f t="shared" si="2"/>
        <v/>
      </c>
      <c r="O42" s="200" t="str">
        <f t="shared" si="3"/>
        <v/>
      </c>
      <c r="P42" s="175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2">
        <f t="shared" si="5"/>
        <v>0</v>
      </c>
      <c r="U42" s="105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3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3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2">
        <f t="array" ref="X42">IF(T42=0,0,IF((AND((ROW(T42)=MATCH(TRUE,($T$1:$T$43)&gt;0,0)))),IF(W42&gt;=6,W42-6,0),IF(W42&gt;=2,2,W42)))</f>
        <v>0</v>
      </c>
      <c r="Y42" s="242">
        <f t="array" ref="Y42">IF(T41=0,0,(IF((AND((ROW(T41)=MATCH(TRUE,($T$1:$T$43)&gt;0,0)))),IF(W41&gt;=6,6,W41),IF(W41&gt;=2,W41-2,0))))</f>
        <v>0</v>
      </c>
      <c r="Z42" s="102" t="str">
        <f t="shared" si="6"/>
        <v/>
      </c>
      <c r="AA42" s="203">
        <f>IF(E41="ND",IF(ISERROR(MATCH(D42,Datenblatt!$L$2:$L$18,0)),3,2),IF(E41="ND12,5",IF(ISERROR(MATCH(D42,Datenblatt!$L$2:$L$18,0)),2.5,2),0))</f>
        <v>0</v>
      </c>
      <c r="AB42" s="203">
        <f>IF((IF(E42="ND",14-IF(D42="",0,VLOOKUP(D42,Datenblatt!$L$2:$M$30,2,FALSE)),IF(E42="ND12,5",2,0)))&lt;0,0,(IF(E42="ND",14-IF(D42="",0,VLOOKUP(D42,Datenblatt!$L$2:$M$30,2,FALSE)),IF(E42="ND12,5",2,0))))</f>
        <v>0</v>
      </c>
      <c r="AC42" s="203">
        <f t="shared" si="7"/>
        <v>0</v>
      </c>
      <c r="AD42" s="203">
        <f t="shared" si="8"/>
        <v>0</v>
      </c>
      <c r="AE42" s="203">
        <f t="shared" si="9"/>
        <v>0</v>
      </c>
      <c r="AF42" s="103">
        <f t="shared" si="10"/>
        <v>0</v>
      </c>
      <c r="AG42" s="103">
        <f t="shared" si="11"/>
        <v>0</v>
      </c>
      <c r="AH42" s="103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49">
        <f t="shared" si="0"/>
        <v>46203</v>
      </c>
      <c r="C43" s="150">
        <f>C42+1</f>
        <v>46203</v>
      </c>
      <c r="D43" s="64"/>
      <c r="E43" s="64"/>
      <c r="F43" s="65"/>
      <c r="G43" s="66"/>
      <c r="H43" s="65"/>
      <c r="I43" s="65"/>
      <c r="J43" s="91"/>
      <c r="K43" s="201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8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199" t="str">
        <f>IF(D43="","",IF(E42="ND",VLOOKUP(D43,Datenblatt!$A$2:$C$31,3,FALSE)-1,IF(E42="ND12,5",VLOOKUP(D43,Datenblatt!$A$2:$C$31,3,FALSE)-0.5,VLOOKUP(D43,Datenblatt!$A$2:$C$31,3,FALSE)-M44)))</f>
        <v/>
      </c>
      <c r="N43" s="200" t="str">
        <f t="shared" si="2"/>
        <v/>
      </c>
      <c r="O43" s="200" t="str">
        <f t="shared" si="3"/>
        <v/>
      </c>
      <c r="P43" s="175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2">
        <f t="shared" si="5"/>
        <v>0</v>
      </c>
      <c r="U43" s="105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3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3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2">
        <f t="array" ref="X43">IF(T43=0,0,IF((AND((ROW(T43)=MATCH(TRUE,($T$1:$T$43)&gt;0,0)))),IF(W43&gt;=0,W43-0,0),IF(W43&gt;=2,2,W43)))</f>
        <v>0</v>
      </c>
      <c r="Y43" s="242">
        <f t="array" ref="Y43">IF(T42=0,0,(IF((AND((ROW(T42)=MATCH(TRUE,($T$1:$T$43)&gt;0,0)))),IF(W42&gt;=6,6,W42),IF(W42&gt;=2,W42-2,0))))</f>
        <v>0</v>
      </c>
      <c r="Z43" s="102" t="str">
        <f t="shared" si="6"/>
        <v/>
      </c>
      <c r="AA43" s="203">
        <f>IF(E42="ND",IF(ISERROR(MATCH(D43,Datenblatt!$L$2:$L$18,0)),3,2),IF(E42="ND12,5",IF(ISERROR(MATCH(D43,Datenblatt!$L$2:$L$18,0)),2.5,2),0))</f>
        <v>0</v>
      </c>
      <c r="AB43" s="203">
        <f>IF((IF(E43="ND",14-IF(D43="",0,VLOOKUP(D43,Datenblatt!$L$2:$M$30,2,FALSE)),IF(E43="ND12,5",2,0)))&lt;0,0,(IF(E43="ND",14-IF(D43="",0,VLOOKUP(D43,Datenblatt!$L$2:$M$30,2,FALSE)),IF(E43="ND12,5",2,0))))</f>
        <v>0</v>
      </c>
      <c r="AC43" s="203">
        <f t="shared" si="7"/>
        <v>0</v>
      </c>
      <c r="AD43" s="203">
        <f t="shared" si="8"/>
        <v>0</v>
      </c>
      <c r="AE43" s="203">
        <f t="shared" si="9"/>
        <v>0</v>
      </c>
      <c r="AF43" s="103">
        <f t="shared" si="10"/>
        <v>0</v>
      </c>
      <c r="AG43" s="103">
        <f t="shared" si="11"/>
        <v>0</v>
      </c>
      <c r="AH43" s="103">
        <f>IF(E43="",0,VLOOKUP(E43,Datenblatt!$E$2:$G$28,3,FALSE))</f>
        <v>0</v>
      </c>
    </row>
    <row r="44" spans="1:34" ht="13" customHeight="1" thickBot="1">
      <c r="A44" s="216" t="str">
        <f>IF(ISERROR(VLOOKUP(C44,Datenblatt!$B$84:$B$97,1,FALSE)),"","Ft")</f>
        <v/>
      </c>
      <c r="B44" s="143"/>
      <c r="C44" s="140"/>
      <c r="D44" s="140"/>
      <c r="E44" s="140"/>
      <c r="F44" s="140"/>
      <c r="G44" s="140"/>
      <c r="H44" s="140"/>
      <c r="I44" s="140"/>
      <c r="J44" s="144">
        <f>SUM(J14:J43)</f>
        <v>0</v>
      </c>
      <c r="K44" s="202">
        <f>SUM(K14:K43)</f>
        <v>0</v>
      </c>
      <c r="L44" s="162" t="str">
        <f>IF(D43="ND",9,IF(D43="ND12,5",8.5,"0"))</f>
        <v>0</v>
      </c>
      <c r="M44" s="162" t="str">
        <f>IF(D43="ND",9,IF(D43="ND12,5",8.5,"0"))</f>
        <v>0</v>
      </c>
      <c r="N44" s="208">
        <f t="shared" ref="N44:O44" si="12">SUM(N14:N43)</f>
        <v>0</v>
      </c>
      <c r="O44" s="208">
        <f t="shared" si="12"/>
        <v>0</v>
      </c>
      <c r="P44" s="186">
        <f>SUM(P14:P43)</f>
        <v>0</v>
      </c>
      <c r="Q44" s="165"/>
      <c r="R44" s="146"/>
      <c r="S44" s="147"/>
      <c r="T44" s="145"/>
      <c r="U44" s="106"/>
      <c r="V44" s="107"/>
      <c r="W44" s="107"/>
      <c r="X44" s="107"/>
      <c r="Y44" s="107"/>
      <c r="Z44" s="145"/>
      <c r="AA44" s="204"/>
      <c r="AB44" s="204"/>
      <c r="AC44" s="204"/>
      <c r="AD44" s="204"/>
      <c r="AE44" s="204"/>
      <c r="AF44" s="204"/>
      <c r="AG44" s="204"/>
      <c r="AH44" s="204"/>
    </row>
    <row r="45" spans="1:34" s="77" customFormat="1" ht="0.75" customHeight="1" thickBot="1">
      <c r="A45" s="419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8"/>
      <c r="U45" s="108"/>
      <c r="V45" s="108"/>
      <c r="W45" s="108"/>
      <c r="X45" s="108"/>
      <c r="Y45" s="108"/>
      <c r="Z45" s="176"/>
      <c r="AA45" s="205"/>
      <c r="AB45" s="205"/>
      <c r="AC45" s="205"/>
      <c r="AD45" s="205"/>
      <c r="AE45" s="205"/>
      <c r="AF45" s="109"/>
      <c r="AG45" s="109"/>
      <c r="AH45" s="109"/>
    </row>
    <row r="46" spans="1:34" s="63" customFormat="1">
      <c r="A46" s="216"/>
      <c r="B46" s="158" t="s">
        <v>146</v>
      </c>
      <c r="C46" s="158"/>
      <c r="D46" s="56"/>
      <c r="E46" s="56"/>
      <c r="F46" s="54"/>
      <c r="G46" s="54"/>
      <c r="H46" s="54"/>
      <c r="I46" s="239"/>
      <c r="J46" s="239"/>
      <c r="K46" s="239"/>
      <c r="L46" s="608" t="s">
        <v>288</v>
      </c>
      <c r="M46" s="608"/>
      <c r="N46" s="608"/>
      <c r="O46" s="609"/>
      <c r="P46" s="190" t="s">
        <v>145</v>
      </c>
      <c r="Q46" s="315">
        <f>IF($P$46="ja",SUMPRODUCT((WEEKDAY($B$14:$B$43,2)=1)*2),0)</f>
        <v>0</v>
      </c>
      <c r="R46" s="148"/>
      <c r="S46" s="161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1"/>
      <c r="AG46" s="231"/>
      <c r="AH46" s="231"/>
    </row>
    <row r="47" spans="1:34" s="63" customFormat="1">
      <c r="A47" s="216"/>
      <c r="B47" s="180" t="str">
        <f>"Verrechnung von Sonderzahlungen, Überstunden, Nachtgutstunden und Nachtdiensten erfolgt im Folgemonat"&amp;" "&amp;Start!$B$21</f>
        <v>Verrechnung von Sonderzahlungen, Überstunden, Nachtgutstunden und Nachtdiensten erfolgt im Folgemonat Juli</v>
      </c>
      <c r="C47" s="158"/>
      <c r="D47" s="56"/>
      <c r="E47" s="56"/>
      <c r="F47" s="54"/>
      <c r="G47" s="54"/>
      <c r="H47" s="78"/>
      <c r="I47" s="78"/>
      <c r="J47" s="79"/>
      <c r="K47" s="79"/>
      <c r="L47" s="606" t="s">
        <v>289</v>
      </c>
      <c r="M47" s="606"/>
      <c r="N47" s="606"/>
      <c r="O47" s="607"/>
      <c r="P47" s="193" t="s">
        <v>291</v>
      </c>
      <c r="Q47" s="314" t="str">
        <f>IF($P$47="Freizeit","       als Gutstunden abgerechnet","       im Folgemonat ausbezahlt")</f>
        <v xml:space="preserve">       als Gutstunden abgerechnet</v>
      </c>
      <c r="R47" s="192"/>
      <c r="S47" s="181"/>
      <c r="T47" s="109"/>
      <c r="U47" s="109"/>
      <c r="V47" s="109"/>
      <c r="W47" s="109"/>
      <c r="X47" s="109"/>
      <c r="Y47" s="109"/>
      <c r="Z47" s="177"/>
      <c r="AA47" s="206"/>
      <c r="AB47" s="206"/>
      <c r="AC47" s="206"/>
      <c r="AD47" s="206"/>
      <c r="AE47" s="206"/>
      <c r="AF47" s="109"/>
      <c r="AG47" s="109"/>
      <c r="AH47" s="276"/>
    </row>
    <row r="48" spans="1:34" ht="15" thickBot="1"/>
    <row r="49" spans="2:34" ht="15" hidden="1" thickBot="1"/>
    <row r="50" spans="2:34" s="56" customFormat="1" ht="13" customHeight="1">
      <c r="B50" s="401" t="s">
        <v>247</v>
      </c>
      <c r="C50" s="534" t="s">
        <v>248</v>
      </c>
      <c r="D50" s="534"/>
      <c r="E50" s="402" t="s">
        <v>406</v>
      </c>
      <c r="F50" s="84"/>
      <c r="G50" s="289" t="s">
        <v>82</v>
      </c>
      <c r="H50" s="290"/>
      <c r="I50" s="294"/>
      <c r="J50" s="294"/>
      <c r="K50" s="294"/>
      <c r="L50" s="291">
        <f>$Q$6</f>
        <v>5374.6299999999992</v>
      </c>
      <c r="N50" s="540" t="str">
        <f>"Monatsprofil"&amp;" "&amp;Start!$B$20</f>
        <v>Monatsprofil Juni</v>
      </c>
      <c r="O50" s="541"/>
      <c r="P50" s="542"/>
      <c r="T50" s="230"/>
      <c r="U50" s="230"/>
      <c r="V50" s="230"/>
      <c r="W50" s="230"/>
      <c r="X50" s="230"/>
      <c r="Y50" s="230"/>
      <c r="Z50" s="177"/>
      <c r="AA50" s="206"/>
      <c r="AB50" s="206"/>
      <c r="AC50" s="206"/>
      <c r="AD50" s="206"/>
      <c r="AE50" s="206"/>
      <c r="AF50" s="230"/>
      <c r="AG50" s="230"/>
      <c r="AH50" s="277"/>
    </row>
    <row r="51" spans="2:34" s="84" customFormat="1" ht="13" customHeight="1">
      <c r="B51" s="321">
        <f>COUNTIF($D$14:$E$43,"U")-COUNTIFS($D$14:$D$43,"U",$E$14:$E$43,"K")-COUNTIFS($D$14:$D$43,"U",$E$14:$E$43,"PK")</f>
        <v>0</v>
      </c>
      <c r="C51" s="403" t="s">
        <v>18</v>
      </c>
      <c r="D51" s="404">
        <f>SUMIFS($P$14:$P$43,$D$14:$D$43,"U")+SUMIFS($P$14:$P$43,$E$14:$E$43,"U")</f>
        <v>0</v>
      </c>
      <c r="E51" s="405"/>
      <c r="F51" s="431"/>
      <c r="G51" s="310" t="s">
        <v>349</v>
      </c>
      <c r="H51" s="311"/>
      <c r="I51" s="312"/>
      <c r="J51" s="312"/>
      <c r="K51" s="312"/>
      <c r="L51" s="313">
        <f>IF(OR(Start!$D$8=Gehalt!$K$37,Start!$D$8=Gehalt!$K$39,Start!$D$8=Gehalt!$K$41),Gehalt!$H$29,0)</f>
        <v>0</v>
      </c>
      <c r="N51" s="543"/>
      <c r="O51" s="544"/>
      <c r="P51" s="545"/>
      <c r="T51" s="253" t="s">
        <v>392</v>
      </c>
      <c r="U51" s="110">
        <f>SUMPRODUCT(($U$14:$U$43)*(ISNUMBER(FIND("Ft",$A$14:$A$43))))+SUMPRODUCT((($U$14:$U$43)*1)*(WEEKDAY($B$14:$B$43,2)=7))-SUMPRODUCT((($U$14:$U$43)*1)*(WEEKDAY($B$14:$B$43,2)=7)*(ISNUMBER(FIND("Ft",$A$14:$A$43))))</f>
        <v>0</v>
      </c>
      <c r="V51" s="110">
        <f>SUMPRODUCT(($V$14:$V$43)*(ISNUMBER(FIND("Ft",$A$14:$A$43))))+SUMPRODUCT((($V$14:$V$43)*1)*(WEEKDAY($B$14:$B$43,2)=7))-SUMPRODUCT((($V$14:$V$43)*1)*(WEEKDAY($B$14:$B$43,2)=7)*(ISNUMBER(FIND("Ft",$A$14:$A$43))))</f>
        <v>0</v>
      </c>
      <c r="W51" s="110">
        <f>SUM($W$14:$W$43)</f>
        <v>0</v>
      </c>
      <c r="X51" s="438"/>
      <c r="Y51" s="439"/>
      <c r="Z51" s="253" t="s">
        <v>392</v>
      </c>
      <c r="AA51" s="203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3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3">
        <f>SUM($AC$14:$AC$43)</f>
        <v>0</v>
      </c>
      <c r="AD51" s="203">
        <f>SUM($AD$14:$AD$43)</f>
        <v>0</v>
      </c>
      <c r="AE51" s="206"/>
      <c r="AF51" s="177"/>
      <c r="AG51" s="253" t="s">
        <v>392</v>
      </c>
      <c r="AH51" s="203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1">
        <f>COUNTIF($D$14:$E$43,"ZA")-COUNTIFS($D$14:$D$43,"ZA",$E$14:$E$43,"K")-COUNTIFS($D$14:$D$43,"ZA",$E$14:$E$43,"PK")</f>
        <v>0</v>
      </c>
      <c r="C52" s="403" t="s">
        <v>21</v>
      </c>
      <c r="D52" s="406">
        <f>SUMIFS($P$14:$P$43,$D$14:$D$43,"ZA")+SUMIFS($P$14:$P$43,$E$14:$E$43,"ZA")-$J$44</f>
        <v>0</v>
      </c>
      <c r="E52" s="407">
        <f>IF($P$47="Freizeit",SUM($N$44*1.5,$O$44*2),0)+$J$54*1.5</f>
        <v>0</v>
      </c>
      <c r="G52" s="295" t="str">
        <f>"9545 Nachtdienstpauschale Gesamt ("&amp;""&amp;Gehalt!$H$25&amp;""&amp;"€/h)"</f>
        <v>9545 Nachtdienstpauschale Gesamt (30,47€/h)</v>
      </c>
      <c r="H52" s="141"/>
      <c r="I52" s="141"/>
      <c r="J52" s="141"/>
      <c r="K52" s="245">
        <f>SUM($AF$14:$AG$43)</f>
        <v>0</v>
      </c>
      <c r="L52" s="215">
        <f>$K$52*Gehalt!$H$25</f>
        <v>0</v>
      </c>
      <c r="N52" s="538" t="s">
        <v>236</v>
      </c>
      <c r="O52" s="539"/>
      <c r="P52" s="318">
        <f>VLOOKUP($B$8,Datenblatt!$A$100:$I$112,2,FALSE)</f>
        <v>30</v>
      </c>
      <c r="T52" s="254" t="s">
        <v>103</v>
      </c>
      <c r="U52" s="249">
        <f>SUM($U$14:$U$43)-$U$51</f>
        <v>0</v>
      </c>
      <c r="V52" s="249">
        <f>SUM($V$14:$V$43)-$V$51</f>
        <v>0</v>
      </c>
      <c r="W52" s="441"/>
      <c r="X52" s="440"/>
      <c r="Y52" s="439"/>
      <c r="Z52" s="255" t="s">
        <v>103</v>
      </c>
      <c r="AA52" s="203">
        <f>SUM($AA$14:$AA$43)-$AA$51</f>
        <v>0</v>
      </c>
      <c r="AB52" s="203">
        <f>SUM($AB$14:$AB$43)-$AB$51</f>
        <v>0</v>
      </c>
      <c r="AC52" s="437"/>
      <c r="AD52" s="204"/>
      <c r="AE52" s="206"/>
      <c r="AF52" s="177"/>
      <c r="AG52" s="255" t="s">
        <v>103</v>
      </c>
      <c r="AH52" s="203">
        <f>SUM($AH$14:$AH$43)-$AH$51</f>
        <v>0</v>
      </c>
    </row>
    <row r="53" spans="2:34" s="84" customFormat="1" ht="13" customHeight="1">
      <c r="B53" s="321">
        <f>COUNTIF($D$14:$E$43,"RG")-COUNTIFS($D$14:$D$43,"U",$E$14:$E$43,"RG")-COUNTIFS($D$14:$D$43,"RG",$E$14:$E$43,"PK")</f>
        <v>0</v>
      </c>
      <c r="C53" s="325" t="s">
        <v>131</v>
      </c>
      <c r="D53" s="404">
        <f>SUMIFS($P$14:$P$43,$D$14:$D$43,"RG")+SUMIFS($P$14:$P$43,$E$14:$E$43,"RG")</f>
        <v>0</v>
      </c>
      <c r="E53" s="408">
        <f>$Q$46</f>
        <v>0</v>
      </c>
      <c r="G53" s="295" t="str">
        <f>"9547 Sonn- und Feiertagszulage ("&amp;""&amp;Gehalt!$H$26&amp;""&amp;"€/h)"</f>
        <v>9547 Sonn- und Feiertagszulage (19,15€/h)</v>
      </c>
      <c r="H53" s="141"/>
      <c r="I53" s="141"/>
      <c r="J53" s="141"/>
      <c r="K53" s="213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5">
        <f>$K$53*Gehalt!$H$26</f>
        <v>0</v>
      </c>
      <c r="N53" s="538" t="s">
        <v>237</v>
      </c>
      <c r="O53" s="539"/>
      <c r="P53" s="318">
        <f>VLOOKUP($B$8,Datenblatt!$A$100:$I$112,3,FALSE)</f>
        <v>1</v>
      </c>
      <c r="T53" s="252" t="s">
        <v>393</v>
      </c>
      <c r="U53" s="103">
        <f>SUMPRODUCT(($U$14:$U$43)*(ISNUMBER(FIND("Ft",$A$14:$A$43))))+SUMPRODUCT((($U$14:$U$43)*1)*(WEEKDAY($B$14:$B$43,2)=7))-SUMPRODUCT((($U$14:$U$43)*1)*(WEEKDAY($B$14:$B$43,2)=7)*(ISNUMBER(FIND("Ft",$A$14:$A$43))))</f>
        <v>0</v>
      </c>
      <c r="V53" s="103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2"/>
      <c r="X53" s="103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3">
        <f>SUMPRODUCT(($Y$14:$Y$43)*(ISNUMBER(FIND("Ft",$A$14:$A$43))))+SUMPRODUCT((($Y$14:$Y$43)*1)*(WEEKDAY($B$14:$B$43,2)=7))-SUMPRODUCT((($Y$14:$Y$43)*1)*(WEEKDAY($B$14:$B$43,2)=7)*(ISNUMBER(FIND("Ft",$A$14:$A$43))))</f>
        <v>0</v>
      </c>
      <c r="Z53" s="230"/>
      <c r="AA53" s="230"/>
      <c r="AB53" s="230"/>
      <c r="AC53" s="177"/>
      <c r="AD53" s="177"/>
      <c r="AE53" s="177"/>
      <c r="AF53" s="177"/>
      <c r="AG53" s="177"/>
      <c r="AH53" s="277"/>
    </row>
    <row r="54" spans="2:34" s="84" customFormat="1" ht="13" customHeight="1">
      <c r="B54" s="321">
        <f>COUNTIF($D$14:$E$43,"NDG")-COUNTIFS($D$14:$D$43,"NDG",$E$14:$E$43,"K")-COUNTIFS($D$14:$D$43,"NDG",$E$14:$E$43,"PK")</f>
        <v>0</v>
      </c>
      <c r="C54" s="325" t="s">
        <v>130</v>
      </c>
      <c r="D54" s="404">
        <f>SUMIFS($P$14:$P$43,$D$14:$D$43,"NDG")+SUMIFS($P$14:$P$43,$E$14:$E$43,"NDG")</f>
        <v>0</v>
      </c>
      <c r="E54" s="408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35" t="s">
        <v>294</v>
      </c>
      <c r="H54" s="536"/>
      <c r="I54" s="537"/>
      <c r="J54" s="356">
        <v>0</v>
      </c>
      <c r="K54" s="214">
        <f>IF($P$47="finanziell",SUM($L$62),0)+$L$66+$L$70-$J$54</f>
        <v>0</v>
      </c>
      <c r="L54" s="215">
        <f>$K$54*$L$60</f>
        <v>0</v>
      </c>
      <c r="M54" s="54"/>
      <c r="N54" s="538" t="s">
        <v>238</v>
      </c>
      <c r="O54" s="539"/>
      <c r="P54" s="318">
        <f>VLOOKUP($B$8,Datenblatt!$A$100:$I$112,4,FALSE)</f>
        <v>8</v>
      </c>
      <c r="Q54" s="54"/>
      <c r="T54" s="230"/>
      <c r="U54" s="230"/>
      <c r="V54" s="230"/>
      <c r="W54" s="177"/>
      <c r="X54" s="177"/>
      <c r="Y54" s="177"/>
      <c r="Z54" s="230"/>
      <c r="AA54" s="230"/>
      <c r="AB54" s="230"/>
      <c r="AC54" s="177"/>
      <c r="AD54" s="177"/>
      <c r="AE54" s="177"/>
      <c r="AF54" s="177"/>
      <c r="AG54" s="177"/>
      <c r="AH54" s="277"/>
    </row>
    <row r="55" spans="2:34" s="84" customFormat="1" ht="13" customHeight="1">
      <c r="B55" s="409"/>
      <c r="C55" s="325" t="s">
        <v>169</v>
      </c>
      <c r="D55" s="404">
        <f>SUMIFS($M$14:$M$43,$D$14:$D$43,"U")</f>
        <v>0</v>
      </c>
      <c r="E55" s="405"/>
      <c r="G55" s="295" t="s">
        <v>226</v>
      </c>
      <c r="H55" s="141"/>
      <c r="I55" s="141"/>
      <c r="J55" s="141"/>
      <c r="K55" s="214">
        <f>IF($P$47="finanziell",SUM($L$63),0)+$L$71+$L$67</f>
        <v>0</v>
      </c>
      <c r="L55" s="215">
        <f>$K$55*$L$61</f>
        <v>0</v>
      </c>
      <c r="M55" s="56"/>
      <c r="N55" s="538" t="s">
        <v>239</v>
      </c>
      <c r="O55" s="539"/>
      <c r="P55" s="318">
        <f>VLOOKUP($B$8,Datenblatt!$A$100:$I$112,5,FALSE)</f>
        <v>21</v>
      </c>
      <c r="T55" s="230"/>
      <c r="U55" s="230"/>
      <c r="V55" s="230"/>
      <c r="W55" s="177"/>
      <c r="X55" s="177"/>
      <c r="Y55" s="177"/>
      <c r="Z55" s="230"/>
      <c r="AA55" s="230"/>
      <c r="AB55" s="230"/>
      <c r="AC55" s="177"/>
      <c r="AD55" s="177"/>
      <c r="AE55" s="177"/>
      <c r="AF55" s="177"/>
      <c r="AG55" s="177"/>
      <c r="AH55" s="277"/>
    </row>
    <row r="56" spans="2:34" s="84" customFormat="1" ht="13" customHeight="1">
      <c r="B56" s="321">
        <f>COUNTIF($D$14:$E$43,"SU")-COUNTIFS($D$14:$D$43,"SU",$E$14:$E$43,"K")-COUNTIFS($D$14:$D$43,"SU",$E$14:$E$43,"PK")</f>
        <v>0</v>
      </c>
      <c r="C56" s="325" t="s">
        <v>171</v>
      </c>
      <c r="D56" s="404">
        <f>SUMIFS($M$14:$M$43,$D$14:$D$43,"SU")</f>
        <v>0</v>
      </c>
      <c r="E56" s="405"/>
      <c r="G56" s="295" t="s">
        <v>284</v>
      </c>
      <c r="H56" s="141"/>
      <c r="I56" s="141"/>
      <c r="J56" s="141"/>
      <c r="K56" s="213">
        <f ca="1">IF(Mai!$P$63-SUM(Start!$E$15:$E$20)*2&lt;=0,0,Mai!$P$63-SUM(Start!$E$15:$E$20)*2)</f>
        <v>0</v>
      </c>
      <c r="L56" s="215">
        <f ca="1">$K$56*(ROUNDDOWN((($Q$6-35)/173*1),2))</f>
        <v>0</v>
      </c>
      <c r="N56" s="538" t="s">
        <v>240</v>
      </c>
      <c r="O56" s="539"/>
      <c r="P56" s="318">
        <f>VLOOKUP($B$8,Datenblatt!$A$100:$I$112,7,FALSE)</f>
        <v>22</v>
      </c>
      <c r="T56" s="230"/>
      <c r="U56" s="230"/>
      <c r="V56" s="230"/>
      <c r="W56" s="177"/>
      <c r="X56" s="177"/>
      <c r="Y56" s="177"/>
      <c r="Z56" s="230"/>
      <c r="AA56" s="230"/>
      <c r="AB56" s="230"/>
      <c r="AC56" s="177"/>
      <c r="AD56" s="177"/>
      <c r="AE56" s="177"/>
      <c r="AF56" s="177"/>
      <c r="AG56" s="177"/>
      <c r="AH56" s="277"/>
    </row>
    <row r="57" spans="2:34" s="84" customFormat="1" ht="13" customHeight="1">
      <c r="B57" s="321">
        <f>COUNTIF($D$14:$E$43,"PK")</f>
        <v>0</v>
      </c>
      <c r="C57" s="325" t="s">
        <v>170</v>
      </c>
      <c r="D57" s="404">
        <f>SUMIFS($M$14:$M$43,$D$14:$D$43,"PK")</f>
        <v>0</v>
      </c>
      <c r="E57" s="405"/>
      <c r="G57" s="357" t="s">
        <v>296</v>
      </c>
      <c r="H57" s="358"/>
      <c r="I57" s="358"/>
      <c r="J57" s="141"/>
      <c r="K57" s="214">
        <f>IF(OR(Start!$D$8=Gehalt!$K$37,Start!$D$8=Gehalt!$K$39,Start!$D$8=Gehalt!$K$41),SUMIFS($M$14:$M$43,$Q$14:$Q$43,"=Tagdienst*",$E$14:$E$43,"&lt;&gt;*")+SUMIFS($AH$14:$AH$43,$R$14:$R$43,"=Tagdienst*"),0)</f>
        <v>0</v>
      </c>
      <c r="L57" s="215">
        <f>$K$57*Gehalt!$H$28</f>
        <v>0</v>
      </c>
      <c r="N57" s="538" t="s">
        <v>235</v>
      </c>
      <c r="O57" s="539"/>
      <c r="P57" s="318">
        <f>VLOOKUP($B$8,Datenblatt!$A$100:$I$112,6,FALSE)</f>
        <v>168</v>
      </c>
      <c r="T57" s="230"/>
      <c r="U57" s="230"/>
      <c r="V57" s="230"/>
      <c r="W57" s="177"/>
      <c r="X57" s="177"/>
      <c r="Y57" s="177"/>
      <c r="Z57" s="230"/>
      <c r="AA57" s="230"/>
      <c r="AB57" s="230"/>
      <c r="AC57" s="177"/>
      <c r="AD57" s="177"/>
      <c r="AE57" s="177"/>
      <c r="AF57" s="177"/>
      <c r="AG57" s="177"/>
      <c r="AH57" s="277"/>
    </row>
    <row r="58" spans="2:34" s="84" customFormat="1" ht="13" customHeight="1">
      <c r="B58" s="321">
        <f>COUNTIF($D$14:$E$43,"K")+COUNTIF($D$14:$E$43,"KA")</f>
        <v>0</v>
      </c>
      <c r="C58" s="325" t="s">
        <v>412</v>
      </c>
      <c r="D58" s="404">
        <f>SUMIFS($M$14:$M$43,$D$14:$D$43,"K")+SUMIFS($M$14:$M$43,$D$14:$D$43,"KA")</f>
        <v>0</v>
      </c>
      <c r="E58" s="405"/>
      <c r="G58" s="295" t="s">
        <v>295</v>
      </c>
      <c r="H58" s="141"/>
      <c r="I58" s="141"/>
      <c r="J58" s="359" t="s">
        <v>145</v>
      </c>
      <c r="K58" s="214"/>
      <c r="L58" s="215">
        <f>IF($J$58="ja",Gehalt!$H$27*2,0)</f>
        <v>0</v>
      </c>
      <c r="N58" s="546" t="str">
        <f>"Stundenkonto Monatsende"&amp;" "&amp;Start!$B$20</f>
        <v>Stundenkonto Monatsende Juni</v>
      </c>
      <c r="O58" s="547"/>
      <c r="P58" s="548"/>
      <c r="T58" s="230"/>
      <c r="U58" s="230"/>
      <c r="V58" s="230"/>
      <c r="W58" s="177"/>
      <c r="X58" s="177"/>
      <c r="Y58" s="177"/>
      <c r="Z58" s="230"/>
      <c r="AA58" s="230"/>
      <c r="AB58" s="230"/>
      <c r="AC58" s="177"/>
      <c r="AD58" s="177"/>
      <c r="AE58" s="177"/>
      <c r="AF58" s="177"/>
      <c r="AG58" s="177"/>
      <c r="AH58" s="277"/>
    </row>
    <row r="59" spans="2:34" s="84" customFormat="1" ht="13" customHeight="1" thickBot="1">
      <c r="B59" s="409"/>
      <c r="C59" s="325" t="s">
        <v>19</v>
      </c>
      <c r="D59" s="404">
        <f>COUNTIF($L$14:$L$43,"n.b.")</f>
        <v>0</v>
      </c>
      <c r="E59" s="405"/>
      <c r="G59" s="218" t="s">
        <v>357</v>
      </c>
      <c r="H59" s="219"/>
      <c r="I59" s="219"/>
      <c r="J59" s="219"/>
      <c r="K59" s="307"/>
      <c r="L59" s="217">
        <f ca="1">SUM(L52:L57)*12%</f>
        <v>0</v>
      </c>
      <c r="N59" s="543"/>
      <c r="O59" s="544"/>
      <c r="P59" s="545"/>
      <c r="T59" s="230"/>
      <c r="U59" s="177"/>
      <c r="V59" s="177"/>
      <c r="W59" s="177"/>
      <c r="X59" s="177"/>
      <c r="Y59" s="177"/>
      <c r="Z59" s="230"/>
      <c r="AA59" s="177"/>
      <c r="AB59" s="177"/>
      <c r="AC59" s="177"/>
      <c r="AD59" s="177"/>
      <c r="AE59" s="177"/>
      <c r="AF59" s="177"/>
      <c r="AG59" s="177"/>
      <c r="AH59" s="277"/>
    </row>
    <row r="60" spans="2:34" s="84" customFormat="1" ht="13" customHeight="1">
      <c r="B60" s="321">
        <f>COUNTIF($D$14:$E$43,"DV")</f>
        <v>0</v>
      </c>
      <c r="C60" s="325" t="s">
        <v>110</v>
      </c>
      <c r="D60" s="404">
        <f>SUMIFS($P$14:$P$43,$D$14:$D$43,"DV")+SUMIFS($P$14:$P$43,$E$14:$E$43,"DV")</f>
        <v>0</v>
      </c>
      <c r="E60" s="405"/>
      <c r="G60" s="226" t="s">
        <v>297</v>
      </c>
      <c r="H60" s="227"/>
      <c r="I60" s="228"/>
      <c r="J60" s="228"/>
      <c r="K60" s="228"/>
      <c r="L60" s="229">
        <f>IF($Q$6="",0,ROUNDDOWN((($Q$6-35)/173*1.5),2))</f>
        <v>46.29</v>
      </c>
      <c r="N60" s="538" t="s">
        <v>233</v>
      </c>
      <c r="O60" s="539"/>
      <c r="P60" s="318">
        <f>Start!$C$32+SUM(Jänner:Juni!$D$51)</f>
        <v>0</v>
      </c>
      <c r="T60" s="232"/>
      <c r="U60" s="177"/>
      <c r="V60" s="177"/>
      <c r="W60" s="177"/>
      <c r="X60" s="177"/>
      <c r="Y60" s="177"/>
      <c r="Z60" s="232"/>
      <c r="AA60" s="177"/>
      <c r="AB60" s="177"/>
      <c r="AC60" s="177"/>
      <c r="AD60" s="177"/>
      <c r="AE60" s="177"/>
      <c r="AF60" s="177"/>
      <c r="AG60" s="177"/>
      <c r="AH60" s="277"/>
    </row>
    <row r="61" spans="2:34" s="84" customFormat="1" ht="13" customHeight="1">
      <c r="B61" s="321">
        <f>COUNTIF($D$14:$E$43,"WR")</f>
        <v>0</v>
      </c>
      <c r="C61" s="325" t="s">
        <v>125</v>
      </c>
      <c r="D61" s="415"/>
      <c r="E61" s="405"/>
      <c r="G61" s="326" t="s">
        <v>394</v>
      </c>
      <c r="H61" s="324"/>
      <c r="I61" s="323"/>
      <c r="J61" s="323"/>
      <c r="K61" s="323"/>
      <c r="L61" s="322">
        <f>IF($Q$6="",0,ROUNDDOWN((($Q$6-35)/173*2),2))</f>
        <v>61.72</v>
      </c>
      <c r="N61" s="538" t="s">
        <v>234</v>
      </c>
      <c r="O61" s="539"/>
      <c r="P61" s="319">
        <f>Start!$C$33+SUM(Jänner:Juni!$D$52)+SUM(Jänner:Juni!$E$52)</f>
        <v>0</v>
      </c>
      <c r="T61" s="232"/>
      <c r="U61" s="177"/>
      <c r="V61" s="177"/>
      <c r="W61" s="177"/>
      <c r="X61" s="177"/>
      <c r="Y61" s="177"/>
      <c r="Z61" s="232"/>
      <c r="AA61" s="177"/>
      <c r="AB61" s="177"/>
      <c r="AC61" s="177"/>
      <c r="AD61" s="177"/>
      <c r="AE61" s="177"/>
      <c r="AF61" s="177"/>
      <c r="AG61" s="177"/>
      <c r="AH61" s="277"/>
    </row>
    <row r="62" spans="2:34" s="56" customFormat="1" ht="13" customHeight="1">
      <c r="B62" s="427"/>
      <c r="C62" s="427"/>
      <c r="D62" s="427"/>
      <c r="E62" s="427"/>
      <c r="G62" s="340" t="s">
        <v>386</v>
      </c>
      <c r="H62" s="341"/>
      <c r="I62" s="115"/>
      <c r="J62" s="115"/>
      <c r="K62" s="355"/>
      <c r="L62" s="342">
        <f>SUM($N$14:$N$43)</f>
        <v>0</v>
      </c>
      <c r="M62" s="84"/>
      <c r="N62" s="538" t="s">
        <v>147</v>
      </c>
      <c r="O62" s="539"/>
      <c r="P62" s="318">
        <f>Start!$C$34+SUM(Jänner:Juni!$D$53)+SUM(Jänner:Juni!$E$53)</f>
        <v>0</v>
      </c>
      <c r="Q62" s="84"/>
      <c r="T62" s="232"/>
      <c r="U62" s="230"/>
      <c r="V62" s="230"/>
      <c r="W62" s="230"/>
      <c r="X62" s="230"/>
      <c r="Y62" s="230"/>
      <c r="Z62" s="232"/>
      <c r="AA62" s="230"/>
      <c r="AB62" s="230"/>
      <c r="AC62" s="230"/>
      <c r="AD62" s="230"/>
      <c r="AE62" s="230"/>
      <c r="AF62" s="230"/>
      <c r="AG62" s="230"/>
      <c r="AH62" s="277"/>
    </row>
    <row r="63" spans="2:34" s="56" customFormat="1" ht="13" customHeight="1">
      <c r="G63" s="340" t="s">
        <v>101</v>
      </c>
      <c r="H63" s="341"/>
      <c r="I63" s="115"/>
      <c r="J63" s="115"/>
      <c r="K63" s="115"/>
      <c r="L63" s="342">
        <f>SUM($O$14:$O$43)</f>
        <v>0</v>
      </c>
      <c r="M63" s="84"/>
      <c r="N63" s="610" t="s">
        <v>165</v>
      </c>
      <c r="O63" s="611"/>
      <c r="P63" s="320">
        <f ca="1">Start!$C$35+SUM(Jänner:Juni!$D$54)+SUM(Jänner:Juni!$E$54)-SUM(Jänner:Juni!$K$56)</f>
        <v>0</v>
      </c>
      <c r="Q63" s="84"/>
      <c r="T63" s="232"/>
      <c r="U63" s="230"/>
      <c r="V63" s="230"/>
      <c r="W63" s="230"/>
      <c r="X63" s="230"/>
      <c r="Y63" s="230"/>
      <c r="Z63" s="232"/>
      <c r="AA63" s="230"/>
      <c r="AB63" s="230"/>
      <c r="AC63" s="230"/>
      <c r="AD63" s="230"/>
      <c r="AE63" s="230"/>
      <c r="AF63" s="230"/>
      <c r="AG63" s="230"/>
      <c r="AH63" s="277"/>
    </row>
    <row r="64" spans="2:34" s="56" customFormat="1" ht="13" customHeight="1">
      <c r="E64" s="130"/>
      <c r="G64" s="340" t="s">
        <v>97</v>
      </c>
      <c r="H64" s="341"/>
      <c r="I64" s="115"/>
      <c r="J64" s="115"/>
      <c r="K64" s="115"/>
      <c r="L64" s="343">
        <f>$L$62*$L$60</f>
        <v>0</v>
      </c>
      <c r="M64" s="84"/>
      <c r="N64" s="612" t="str">
        <f>"Bisheriger Verbrauch"&amp;" "&amp;Start!$D$2</f>
        <v>Bisheriger Verbrauch 2026</v>
      </c>
      <c r="O64" s="613"/>
      <c r="P64" s="614"/>
      <c r="Q64" s="84"/>
      <c r="T64" s="232"/>
      <c r="U64" s="230"/>
      <c r="V64" s="230"/>
      <c r="W64" s="230"/>
      <c r="X64" s="230"/>
      <c r="Y64" s="230"/>
      <c r="Z64" s="232"/>
      <c r="AA64" s="230"/>
      <c r="AB64" s="230"/>
      <c r="AC64" s="230"/>
      <c r="AD64" s="230"/>
      <c r="AE64" s="230"/>
      <c r="AF64" s="230"/>
      <c r="AG64" s="230"/>
      <c r="AH64" s="277"/>
    </row>
    <row r="65" spans="3:16" s="56" customFormat="1" ht="13" customHeight="1">
      <c r="E65" s="130"/>
      <c r="G65" s="247" t="s">
        <v>98</v>
      </c>
      <c r="H65" s="248"/>
      <c r="I65" s="344"/>
      <c r="J65" s="344"/>
      <c r="K65" s="344"/>
      <c r="L65" s="345">
        <f>$L$63*$L$61</f>
        <v>0</v>
      </c>
      <c r="M65" s="84"/>
      <c r="N65" s="615"/>
      <c r="O65" s="616"/>
      <c r="P65" s="617"/>
    </row>
    <row r="66" spans="3:16" s="56" customFormat="1" ht="13" customHeight="1">
      <c r="E66" s="130"/>
      <c r="G66" s="346" t="s">
        <v>227</v>
      </c>
      <c r="H66" s="347"/>
      <c r="I66" s="348"/>
      <c r="J66" s="348"/>
      <c r="K66" s="348"/>
      <c r="L66" s="342">
        <f>SUM($U$52:$V$52)+$AH$52</f>
        <v>0</v>
      </c>
      <c r="N66" s="530" t="s">
        <v>233</v>
      </c>
      <c r="O66" s="531"/>
      <c r="P66" s="364">
        <f>SUM(Jänner:Juni!$D$51)</f>
        <v>0</v>
      </c>
    </row>
    <row r="67" spans="3:16" s="56" customFormat="1" ht="13" customHeight="1">
      <c r="D67" s="130"/>
      <c r="E67" s="130"/>
      <c r="G67" s="346" t="s">
        <v>102</v>
      </c>
      <c r="H67" s="347"/>
      <c r="I67" s="348"/>
      <c r="J67" s="348"/>
      <c r="K67" s="348"/>
      <c r="L67" s="342">
        <f>SUM($U$51:$W$51)+$AH$51</f>
        <v>0</v>
      </c>
      <c r="N67" s="530" t="s">
        <v>234</v>
      </c>
      <c r="O67" s="531"/>
      <c r="P67" s="364">
        <f>SUM(Jänner:Juni!$D$52)</f>
        <v>0</v>
      </c>
    </row>
    <row r="68" spans="3:16" s="56" customFormat="1" ht="13" customHeight="1">
      <c r="D68" s="130"/>
      <c r="E68" s="130"/>
      <c r="G68" s="111" t="s">
        <v>99</v>
      </c>
      <c r="H68" s="112"/>
      <c r="I68" s="115"/>
      <c r="J68" s="115"/>
      <c r="K68" s="115"/>
      <c r="L68" s="343">
        <f>$L$66*$L$60</f>
        <v>0</v>
      </c>
      <c r="N68" s="530" t="s">
        <v>147</v>
      </c>
      <c r="O68" s="531"/>
      <c r="P68" s="364">
        <f>SUM(Jänner:Juni!$D$53)</f>
        <v>0</v>
      </c>
    </row>
    <row r="69" spans="3:16" s="56" customFormat="1" ht="13" customHeight="1">
      <c r="D69" s="130"/>
      <c r="E69" s="130"/>
      <c r="G69" s="349" t="s">
        <v>100</v>
      </c>
      <c r="H69" s="350"/>
      <c r="I69" s="344"/>
      <c r="J69" s="344"/>
      <c r="K69" s="344"/>
      <c r="L69" s="345">
        <f>$L$67*$L$61</f>
        <v>0</v>
      </c>
      <c r="N69" s="549" t="s">
        <v>165</v>
      </c>
      <c r="O69" s="550"/>
      <c r="P69" s="365">
        <f>SUM(Jänner:Juni!$D$54)</f>
        <v>0</v>
      </c>
    </row>
    <row r="70" spans="3:16" s="56" customFormat="1" ht="13" customHeight="1">
      <c r="D70" s="130"/>
      <c r="E70" s="130"/>
      <c r="G70" s="340" t="s">
        <v>387</v>
      </c>
      <c r="H70" s="341"/>
      <c r="I70" s="115"/>
      <c r="J70" s="115"/>
      <c r="K70" s="115"/>
      <c r="L70" s="342">
        <f>SUM($AA$52:$AB$52)</f>
        <v>0</v>
      </c>
      <c r="N70" s="528" t="s">
        <v>384</v>
      </c>
      <c r="O70" s="529"/>
      <c r="P70" s="400">
        <f>SUM(Jänner:Juni!$B$56)</f>
        <v>0</v>
      </c>
    </row>
    <row r="71" spans="3:16" s="56" customFormat="1" ht="13" customHeight="1">
      <c r="D71" s="130"/>
      <c r="E71" s="130"/>
      <c r="G71" s="340" t="s">
        <v>351</v>
      </c>
      <c r="H71" s="341"/>
      <c r="I71" s="115"/>
      <c r="J71" s="115"/>
      <c r="K71" s="115"/>
      <c r="L71" s="342">
        <f>SUM($AA$51:$AD$51)</f>
        <v>0</v>
      </c>
      <c r="N71" s="530" t="s">
        <v>385</v>
      </c>
      <c r="O71" s="531"/>
      <c r="P71" s="364">
        <f>SUM(Jänner:Juni!$B$57)</f>
        <v>0</v>
      </c>
    </row>
    <row r="72" spans="3:16" s="56" customFormat="1" ht="13" customHeight="1">
      <c r="D72" s="130"/>
      <c r="E72" s="130"/>
      <c r="G72" s="340" t="s">
        <v>97</v>
      </c>
      <c r="H72" s="341"/>
      <c r="I72" s="115"/>
      <c r="J72" s="115"/>
      <c r="K72" s="115"/>
      <c r="L72" s="343">
        <f>$L$70*$L$60</f>
        <v>0</v>
      </c>
      <c r="N72" s="532" t="s">
        <v>383</v>
      </c>
      <c r="O72" s="533"/>
      <c r="P72" s="399">
        <f>SUM(Jänner:Juni!$B$58)</f>
        <v>0</v>
      </c>
    </row>
    <row r="73" spans="3:16" s="56" customFormat="1" ht="13" customHeight="1">
      <c r="D73" s="130"/>
      <c r="G73" s="247" t="s">
        <v>98</v>
      </c>
      <c r="H73" s="248"/>
      <c r="I73" s="344"/>
      <c r="J73" s="344"/>
      <c r="K73" s="344"/>
      <c r="L73" s="345">
        <f>$L$71*$L$61</f>
        <v>0</v>
      </c>
    </row>
    <row r="74" spans="3:16" s="56" customFormat="1" ht="13" customHeight="1">
      <c r="D74" s="130"/>
      <c r="G74" s="351" t="s">
        <v>287</v>
      </c>
      <c r="H74" s="352"/>
      <c r="I74" s="151"/>
      <c r="J74" s="151"/>
      <c r="K74" s="151"/>
      <c r="L74" s="353">
        <f>VLOOKUP($B$8,Datenblatt!$A$100:$F$123,6,FALSE)-SUM($D$55:$D$58)</f>
        <v>168</v>
      </c>
    </row>
    <row r="75" spans="3:16" s="56" customFormat="1" ht="13" customHeight="1">
      <c r="D75" s="130"/>
    </row>
    <row r="76" spans="3:16" s="56" customFormat="1" ht="13" customHeight="1"/>
    <row r="77" spans="3:16" s="56" customFormat="1" ht="13" customHeight="1">
      <c r="C77" s="154" t="s">
        <v>242</v>
      </c>
      <c r="D77" s="155"/>
      <c r="E77" s="156"/>
      <c r="F77" s="156"/>
      <c r="G77" s="156"/>
      <c r="H77" s="157"/>
    </row>
    <row r="78" spans="3:16" s="56" customFormat="1" ht="13" customHeight="1">
      <c r="C78" s="111" t="s">
        <v>91</v>
      </c>
      <c r="D78" s="112"/>
      <c r="E78" s="113"/>
      <c r="F78" s="113"/>
      <c r="G78" s="113"/>
      <c r="H78" s="114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1" t="s">
        <v>92</v>
      </c>
      <c r="D79" s="112"/>
      <c r="E79" s="113"/>
      <c r="F79" s="113"/>
      <c r="G79" s="113"/>
      <c r="H79" s="114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1" t="s">
        <v>93</v>
      </c>
      <c r="D80" s="112"/>
      <c r="E80" s="113"/>
      <c r="F80" s="113"/>
      <c r="G80" s="113"/>
      <c r="H80" s="114">
        <f>SUMPRODUCT(($D$14:$D$43="ND")*($A$14:$A$43="Ft"))</f>
        <v>0</v>
      </c>
    </row>
    <row r="81" spans="3:8" s="56" customFormat="1" ht="13" customHeight="1">
      <c r="C81" s="111" t="s">
        <v>94</v>
      </c>
      <c r="D81" s="112"/>
      <c r="E81" s="115"/>
      <c r="F81" s="115"/>
      <c r="G81" s="115"/>
      <c r="H81" s="114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1" t="s">
        <v>95</v>
      </c>
      <c r="D82" s="112"/>
      <c r="E82" s="115"/>
      <c r="F82" s="115"/>
      <c r="G82" s="115"/>
      <c r="H82" s="114">
        <f>SUMPRODUCT(($A$13:$A$42="Ft")*($D$13:$D$42="ND")*($A$14:$A$43="Ft"))</f>
        <v>0</v>
      </c>
    </row>
    <row r="83" spans="3:8" s="56" customFormat="1" ht="13" customHeight="1">
      <c r="C83" s="111" t="s">
        <v>96</v>
      </c>
      <c r="D83" s="112"/>
      <c r="E83" s="115"/>
      <c r="F83" s="112"/>
      <c r="G83" s="112"/>
      <c r="H83" s="114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6" t="s">
        <v>151</v>
      </c>
      <c r="D84" s="117"/>
      <c r="E84" s="151"/>
      <c r="F84" s="117"/>
      <c r="G84" s="117"/>
      <c r="H84" s="188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4" t="s">
        <v>243</v>
      </c>
      <c r="D85" s="155"/>
      <c r="E85" s="156"/>
      <c r="F85" s="156"/>
      <c r="G85" s="156"/>
      <c r="H85" s="157"/>
    </row>
    <row r="86" spans="3:8" s="56" customFormat="1" ht="13" customHeight="1">
      <c r="C86" s="247" t="s">
        <v>395</v>
      </c>
      <c r="D86" s="248"/>
      <c r="E86" s="248"/>
      <c r="F86" s="248"/>
      <c r="G86" s="248"/>
      <c r="H86" s="153"/>
    </row>
    <row r="87" spans="3:8" s="56" customFormat="1" ht="13" customHeight="1">
      <c r="C87" s="111" t="s">
        <v>16</v>
      </c>
      <c r="D87" s="112"/>
      <c r="E87" s="112"/>
      <c r="F87" s="112"/>
      <c r="G87" s="112"/>
      <c r="H87" s="114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1" t="s">
        <v>224</v>
      </c>
      <c r="D88" s="112"/>
      <c r="E88" s="112"/>
      <c r="F88" s="112"/>
      <c r="G88" s="112"/>
      <c r="H88" s="114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1" t="s">
        <v>87</v>
      </c>
      <c r="D89" s="112"/>
      <c r="E89" s="112"/>
      <c r="F89" s="112"/>
      <c r="G89" s="112"/>
      <c r="H89" s="114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1" t="s">
        <v>183</v>
      </c>
      <c r="D90" s="112"/>
      <c r="E90" s="112"/>
      <c r="F90" s="112"/>
      <c r="G90" s="112"/>
      <c r="H90" s="114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1" t="s">
        <v>208</v>
      </c>
      <c r="D91" s="112"/>
      <c r="E91" s="112"/>
      <c r="F91" s="112"/>
      <c r="G91" s="112"/>
      <c r="H91" s="114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1" t="s">
        <v>85</v>
      </c>
      <c r="D92" s="112"/>
      <c r="E92" s="112"/>
      <c r="F92" s="112"/>
      <c r="G92" s="112"/>
      <c r="H92" s="114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1" t="s">
        <v>212</v>
      </c>
      <c r="D93" s="112"/>
      <c r="E93" s="112"/>
      <c r="F93" s="112"/>
      <c r="G93" s="112"/>
      <c r="H93" s="114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1" t="s">
        <v>71</v>
      </c>
      <c r="D94" s="112"/>
      <c r="E94" s="112"/>
      <c r="F94" s="112"/>
      <c r="G94" s="112"/>
      <c r="H94" s="114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1" t="s">
        <v>213</v>
      </c>
      <c r="D95" s="112"/>
      <c r="E95" s="112"/>
      <c r="F95" s="112"/>
      <c r="G95" s="112"/>
      <c r="H95" s="114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1" t="s">
        <v>83</v>
      </c>
      <c r="D96" s="112"/>
      <c r="E96" s="112"/>
      <c r="F96" s="112"/>
      <c r="G96" s="112"/>
      <c r="H96" s="114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1" t="s">
        <v>214</v>
      </c>
      <c r="D97" s="112"/>
      <c r="E97" s="112"/>
      <c r="F97" s="112"/>
      <c r="G97" s="112"/>
      <c r="H97" s="114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1" t="s">
        <v>407</v>
      </c>
      <c r="D98" s="112"/>
      <c r="E98" s="112"/>
      <c r="F98" s="112"/>
      <c r="G98" s="112"/>
      <c r="H98" s="114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1" t="s">
        <v>215</v>
      </c>
      <c r="D99" s="112"/>
      <c r="E99" s="112"/>
      <c r="F99" s="112"/>
      <c r="G99" s="112"/>
      <c r="H99" s="114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1" t="s">
        <v>216</v>
      </c>
      <c r="D100" s="112"/>
      <c r="E100" s="112"/>
      <c r="F100" s="112"/>
      <c r="G100" s="112"/>
      <c r="H100" s="114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1" t="s">
        <v>209</v>
      </c>
      <c r="D101" s="112"/>
      <c r="E101" s="112"/>
      <c r="F101" s="112"/>
      <c r="G101" s="112"/>
      <c r="H101" s="114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1" t="s">
        <v>217</v>
      </c>
      <c r="D102" s="112"/>
      <c r="E102" s="112"/>
      <c r="F102" s="112"/>
      <c r="G102" s="112"/>
      <c r="H102" s="114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1" t="s">
        <v>118</v>
      </c>
      <c r="D103" s="112"/>
      <c r="E103" s="112"/>
      <c r="F103" s="112"/>
      <c r="G103" s="112"/>
      <c r="H103" s="114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3" t="s">
        <v>148</v>
      </c>
      <c r="D104" s="244"/>
      <c r="E104" s="244"/>
      <c r="F104" s="244"/>
      <c r="G104" s="244"/>
      <c r="H104" s="152"/>
    </row>
    <row r="105" spans="3:8" ht="13" customHeight="1">
      <c r="C105" s="111" t="s">
        <v>152</v>
      </c>
      <c r="D105" s="112"/>
      <c r="E105" s="112"/>
      <c r="F105" s="112"/>
      <c r="G105" s="112"/>
      <c r="H105" s="114">
        <f>SUMPRODUCT((WEEKDAY($B$13:$B$42,2)=6)*($D$13:$D$42="ND12,5"))-SUMPRODUCT((WEEKDAY($B$13:$B$42,2)=6)*($D$13:$D$42="ND12,5")*($A$13:$A$42="Ft"))</f>
        <v>0</v>
      </c>
    </row>
    <row r="106" spans="3:8">
      <c r="C106" s="111" t="s">
        <v>149</v>
      </c>
      <c r="D106" s="115"/>
      <c r="E106" s="115"/>
      <c r="F106" s="115"/>
      <c r="G106" s="115"/>
      <c r="H106" s="114">
        <f>SUMPRODUCT((WEEKDAY($B$14:$B$43,2)=7)*($D$14:$D$43="ND12,5"))-SUMPRODUCT((WEEKDAY($B$14:$B$43,2)=7)*($D$14:$D$43="ND12,5")*($A$14:$A$43="Ft"))</f>
        <v>0</v>
      </c>
    </row>
    <row r="107" spans="3:8">
      <c r="C107" s="111" t="s">
        <v>150</v>
      </c>
      <c r="D107" s="115"/>
      <c r="E107" s="115"/>
      <c r="F107" s="115"/>
      <c r="G107" s="115"/>
      <c r="H107" s="114">
        <f>SUMPRODUCT(($D$14:$D$43="ND12,5")*($A$14:$A$43="Ft"))</f>
        <v>0</v>
      </c>
    </row>
    <row r="108" spans="3:8">
      <c r="C108" s="111" t="s">
        <v>154</v>
      </c>
      <c r="D108" s="115"/>
      <c r="E108" s="115"/>
      <c r="F108" s="115"/>
      <c r="G108" s="115"/>
      <c r="H108" s="114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1" t="s">
        <v>155</v>
      </c>
      <c r="D109" s="115"/>
      <c r="E109" s="115"/>
      <c r="F109" s="115"/>
      <c r="G109" s="115"/>
      <c r="H109" s="114">
        <f>SUMPRODUCT(($A$13:$A$42="Ft")*($D$13:$D$42="ND12,5")*($A$14:$A$43="Ft"))</f>
        <v>0</v>
      </c>
    </row>
    <row r="110" spans="3:8">
      <c r="C110" s="111" t="s">
        <v>156</v>
      </c>
      <c r="D110" s="115"/>
      <c r="E110" s="115"/>
      <c r="F110" s="115"/>
      <c r="G110" s="115"/>
      <c r="H110" s="114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6" t="s">
        <v>153</v>
      </c>
      <c r="D111" s="151"/>
      <c r="E111" s="151"/>
      <c r="F111" s="151"/>
      <c r="G111" s="151"/>
      <c r="H111" s="188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En/kEEydhcdMUf4NEQ7R/6OWTtq3s2kwuoqOqcUeGHHYwkCqe6IOHVH0oPuvM36/OLbV5luyrbFiNER4xZ1PvA==" saltValue="e7UIWRAsfgAIfCTjfMx4BA==" spinCount="100000" sheet="1" selectLockedCells="1"/>
  <mergeCells count="63">
    <mergeCell ref="L47:O47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61:O61"/>
    <mergeCell ref="C50:D50"/>
    <mergeCell ref="G54:I54"/>
    <mergeCell ref="N50:P51"/>
    <mergeCell ref="N58:P59"/>
    <mergeCell ref="N52:O52"/>
    <mergeCell ref="N53:O53"/>
    <mergeCell ref="N54:O54"/>
    <mergeCell ref="N60:O60"/>
    <mergeCell ref="L46:O46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3">
    <cfRule type="cellIs" dxfId="369" priority="10" operator="equal">
      <formula>"HFT"</formula>
    </cfRule>
    <cfRule type="cellIs" dxfId="368" priority="11" operator="equal">
      <formula>"FT"</formula>
    </cfRule>
  </conditionalFormatting>
  <conditionalFormatting sqref="A44">
    <cfRule type="cellIs" dxfId="367" priority="323" operator="equal">
      <formula>"Ft"</formula>
    </cfRule>
  </conditionalFormatting>
  <conditionalFormatting sqref="B13:C43">
    <cfRule type="expression" dxfId="366" priority="324">
      <formula>WEEKDAY($C13,2)&gt;5</formula>
    </cfRule>
  </conditionalFormatting>
  <conditionalFormatting sqref="E8">
    <cfRule type="cellIs" dxfId="364" priority="53" operator="greaterThan">
      <formula>48</formula>
    </cfRule>
  </conditionalFormatting>
  <conditionalFormatting sqref="I46:K46">
    <cfRule type="cellIs" dxfId="363" priority="136" operator="equal">
      <formula>"Wochenarbeitszeit überschritten"</formula>
    </cfRule>
  </conditionalFormatting>
  <conditionalFormatting sqref="J44:P44">
    <cfRule type="cellIs" dxfId="362" priority="179" operator="equal">
      <formula>0</formula>
    </cfRule>
  </conditionalFormatting>
  <conditionalFormatting sqref="K8">
    <cfRule type="cellIs" dxfId="361" priority="231" operator="equal">
      <formula>$N$8</formula>
    </cfRule>
    <cfRule type="cellIs" dxfId="360" priority="233" operator="lessThan">
      <formula>$N$8</formula>
    </cfRule>
    <cfRule type="cellIs" dxfId="359" priority="232" operator="greaterThan">
      <formula>$N$8</formula>
    </cfRule>
  </conditionalFormatting>
  <conditionalFormatting sqref="K14:K43">
    <cfRule type="cellIs" dxfId="358" priority="41" operator="lessThanOrEqual">
      <formula>0</formula>
    </cfRule>
    <cfRule type="cellIs" dxfId="357" priority="42" operator="greaterThan">
      <formula>0</formula>
    </cfRule>
  </conditionalFormatting>
  <conditionalFormatting sqref="K44">
    <cfRule type="cellIs" dxfId="356" priority="236" operator="lessThan">
      <formula>0</formula>
    </cfRule>
  </conditionalFormatting>
  <conditionalFormatting sqref="N14:O43">
    <cfRule type="cellIs" dxfId="355" priority="13" operator="equal">
      <formula>0</formula>
    </cfRule>
  </conditionalFormatting>
  <conditionalFormatting sqref="P13:P43">
    <cfRule type="cellIs" dxfId="354" priority="2" operator="equal">
      <formula>0</formula>
    </cfRule>
  </conditionalFormatting>
  <conditionalFormatting sqref="P60:P63">
    <cfRule type="cellIs" dxfId="353" priority="72" operator="lessThan">
      <formula>0</formula>
    </cfRule>
  </conditionalFormatting>
  <conditionalFormatting sqref="Q46">
    <cfRule type="cellIs" dxfId="352" priority="57" operator="equal">
      <formula>0</formula>
    </cfRule>
  </conditionalFormatting>
  <conditionalFormatting sqref="T14:T43">
    <cfRule type="cellIs" dxfId="351" priority="39" operator="equal">
      <formula>0</formula>
    </cfRule>
  </conditionalFormatting>
  <conditionalFormatting sqref="T51:W51">
    <cfRule type="cellIs" dxfId="350" priority="29" operator="equal">
      <formula>0</formula>
    </cfRule>
  </conditionalFormatting>
  <conditionalFormatting sqref="T44:AD44">
    <cfRule type="cellIs" dxfId="349" priority="123" operator="equal">
      <formula>0</formula>
    </cfRule>
  </conditionalFormatting>
  <conditionalFormatting sqref="U15:W43">
    <cfRule type="cellIs" dxfId="348" priority="36" operator="equal">
      <formula>0</formula>
    </cfRule>
  </conditionalFormatting>
  <conditionalFormatting sqref="U51:Y53">
    <cfRule type="cellIs" dxfId="347" priority="19" operator="equal">
      <formula>0</formula>
    </cfRule>
  </conditionalFormatting>
  <conditionalFormatting sqref="V14">
    <cfRule type="cellIs" dxfId="346" priority="38" operator="equal">
      <formula>0</formula>
    </cfRule>
  </conditionalFormatting>
  <conditionalFormatting sqref="V13:Y13">
    <cfRule type="cellIs" dxfId="345" priority="74" operator="equal">
      <formula>0</formula>
    </cfRule>
  </conditionalFormatting>
  <conditionalFormatting sqref="W52">
    <cfRule type="cellIs" dxfId="344" priority="23" operator="equal">
      <formula>0</formula>
    </cfRule>
  </conditionalFormatting>
  <conditionalFormatting sqref="X14:Y43">
    <cfRule type="cellIs" dxfId="343" priority="35" operator="equal">
      <formula>0</formula>
    </cfRule>
  </conditionalFormatting>
  <conditionalFormatting sqref="Z13:Z43">
    <cfRule type="cellIs" dxfId="342" priority="190" operator="equal">
      <formula>0</formula>
    </cfRule>
  </conditionalFormatting>
  <conditionalFormatting sqref="Z51:AC51">
    <cfRule type="cellIs" dxfId="341" priority="27" operator="equal">
      <formula>0</formula>
    </cfRule>
  </conditionalFormatting>
  <conditionalFormatting sqref="AA14:AB43">
    <cfRule type="cellIs" dxfId="340" priority="43" operator="equal">
      <formula>0</formula>
    </cfRule>
  </conditionalFormatting>
  <conditionalFormatting sqref="AA51:AE52">
    <cfRule type="cellIs" dxfId="339" priority="4" operator="equal">
      <formula>0</formula>
    </cfRule>
  </conditionalFormatting>
  <conditionalFormatting sqref="AC13:AD43">
    <cfRule type="cellIs" dxfId="338" priority="144" operator="equal">
      <formula>0</formula>
    </cfRule>
  </conditionalFormatting>
  <conditionalFormatting sqref="AE13:AE44">
    <cfRule type="cellIs" dxfId="337" priority="1" operator="equal">
      <formula>0</formula>
    </cfRule>
  </conditionalFormatting>
  <conditionalFormatting sqref="AF13:AG43">
    <cfRule type="cellIs" dxfId="336" priority="87" operator="equal">
      <formula>0</formula>
    </cfRule>
  </conditionalFormatting>
  <conditionalFormatting sqref="AF44:AH44">
    <cfRule type="cellIs" dxfId="335" priority="64" operator="equal">
      <formula>0</formula>
    </cfRule>
  </conditionalFormatting>
  <conditionalFormatting sqref="AG51:AH51">
    <cfRule type="cellIs" dxfId="334" priority="18" operator="equal">
      <formula>0</formula>
    </cfRule>
  </conditionalFormatting>
  <conditionalFormatting sqref="AH14:AH43">
    <cfRule type="cellIs" dxfId="333" priority="32" operator="equal">
      <formula>0</formula>
    </cfRule>
  </conditionalFormatting>
  <conditionalFormatting sqref="AH51:AH52">
    <cfRule type="cellIs" dxfId="332" priority="16" operator="equal">
      <formula>0</formula>
    </cfRule>
  </conditionalFormatting>
  <dataValidations count="4">
    <dataValidation type="list" allowBlank="1" showInputMessage="1" showErrorMessage="1" sqref="J14:J43" xr:uid="{133C8E48-BE87-488F-8F2D-0FD012E94B06}">
      <formula1>AbwesenheitenStunden</formula1>
    </dataValidation>
    <dataValidation type="list" allowBlank="1" showInputMessage="1" showErrorMessage="1" error="Die Eingabe ist unzulässig_x000a_Bitte Drop Down Felder verwenden" sqref="F14:G43" xr:uid="{74339477-315F-4EE5-BD20-05093EDC43BE}">
      <formula1>Zeiten1</formula1>
    </dataValidation>
    <dataValidation type="decimal" allowBlank="1" showInputMessage="1" showErrorMessage="1" error="Die ausgewählte Stundenanzahl steht nicht zur Verfügung!" sqref="J54" xr:uid="{1E2632E7-E748-45F4-8BCA-FA8734C4E4A2}">
      <formula1>0</formula1>
      <formula2>K54</formula2>
    </dataValidation>
    <dataValidation type="list" allowBlank="1" showInputMessage="1" showErrorMessage="1" sqref="H14:I43" xr:uid="{DA42D70A-A68E-4F8B-9B30-E2AACDF285BE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6" id="{74CB8EDB-E28F-4CD6-96D7-5969D9804EFE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800-000007000000}">
          <x14:formula1>
            <xm:f>Datenblatt!$A$31:$A$51</xm:f>
          </x14:formula1>
          <xm:sqref>A45 AF46:AH46 AI45:XFD45 L45:AE45</xm:sqref>
        </x14:dataValidation>
        <x14:dataValidation type="list" allowBlank="1" showInputMessage="1" showErrorMessage="1" xr:uid="{69C5CEAA-4963-480F-B38E-C73C017CCBBB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5F05151D-39C1-4D68-A4B8-1B32127C35E7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944B4F32-32F8-4D83-87F8-901FD2452169}">
          <x14:formula1>
            <xm:f>Datenblatt!$D$58:$D$59</xm:f>
          </x14:formula1>
          <xm:sqref>P46 J58</xm:sqref>
        </x14:dataValidation>
        <x14:dataValidation type="list" allowBlank="1" showInputMessage="1" showErrorMessage="1" xr:uid="{0AE6BDC2-D642-4692-91A2-53F9ACB57F8D}">
          <x14:formula1>
            <xm:f>Datenblatt!$D$52:$D$53</xm:f>
          </x14:formula1>
          <xm:sqref>P47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9</vt:i4>
      </vt:variant>
    </vt:vector>
  </HeadingPairs>
  <TitlesOfParts>
    <vt:vector size="29" baseType="lpstr">
      <vt:lpstr>Info</vt:lpstr>
      <vt:lpstr>Üst</vt:lpstr>
      <vt:lpstr>Start</vt:lpstr>
      <vt:lpstr>Jänner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Jänner.</vt:lpstr>
      <vt:lpstr>Februar.</vt:lpstr>
      <vt:lpstr>März.</vt:lpstr>
      <vt:lpstr>Gehalt</vt:lpstr>
      <vt:lpstr>Datenblatt</vt:lpstr>
      <vt:lpstr>AbwesenheitenStunden</vt:lpstr>
      <vt:lpstr>Feiertage</vt:lpstr>
      <vt:lpstr>SF</vt:lpstr>
      <vt:lpstr>SpA</vt:lpstr>
      <vt:lpstr>Tagespräsenz</vt:lpstr>
      <vt:lpstr>Zeiten1</vt:lpstr>
      <vt:lpstr>Zeiten2</vt:lpstr>
      <vt:lpstr>Zeiten2Anfang</vt:lpstr>
      <vt:lpstr>Zeiten2Ende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 Michael Graf IT-Dienstleistungen</dc:creator>
  <cp:lastModifiedBy>Harald Mauler</cp:lastModifiedBy>
  <cp:lastPrinted>2015-11-22T12:33:36Z</cp:lastPrinted>
  <dcterms:created xsi:type="dcterms:W3CDTF">2015-01-19T20:57:13Z</dcterms:created>
  <dcterms:modified xsi:type="dcterms:W3CDTF">2025-12-29T21:56:57Z</dcterms:modified>
</cp:coreProperties>
</file>